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124226"/>
  <mc:AlternateContent xmlns:mc="http://schemas.openxmlformats.org/markup-compatibility/2006">
    <mc:Choice Requires="x15">
      <x15ac:absPath xmlns:x15ac="http://schemas.microsoft.com/office/spreadsheetml/2010/11/ac" url="D:\Editais CPS\Barueri\Dimensionamento de Frota\"/>
    </mc:Choice>
  </mc:AlternateContent>
  <xr:revisionPtr revIDLastSave="0" documentId="13_ncr:1_{C7A9891D-70A8-45CB-BE20-2745D01A0E1B}" xr6:coauthVersionLast="47" xr6:coauthVersionMax="47" xr10:uidLastSave="{00000000-0000-0000-0000-000000000000}"/>
  <bookViews>
    <workbookView xWindow="-108" yWindow="-108" windowWidth="23256" windowHeight="12576"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<sst xmlns="http://schemas.openxmlformats.org/spreadsheetml/2006/main" count="232" uniqueCount="193">
  <si>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</si>
  <si>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</si>
  <si>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</si>
  <si>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</si>
  <si>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</si>
  <si>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</si>
  <si>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</si>
  <si>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</si>
  <si>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</si>
  <si>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</si>
  <si>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</si>
  <si>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</si>
  <si>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</si>
  <si>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</si>
  <si>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</si>
  <si>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</si>
  <si>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</si>
  <si>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</si>
  <si>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</si>
  <si>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</si>
  <si>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</si>
  <si>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</si>
  <si>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</si>
  <si>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</si>
  <si>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</si>
  <si>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</si>
  <si>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</si>
  <si>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</si>
  <si>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</si>
  <si>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</si>
  <si>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</si>
  <si>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</si>
  <si>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</si>
  <si>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</si>
  <si>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</si>
  <si>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</si>
  <si>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</si>
  <si>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</si>
  <si>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</si>
  <si>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</si>
  <si>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</si>
  <si>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</si>
  <si>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</si>
  <si>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</si>
  <si>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</si>
  <si>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</si>
  <si>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</si>
  <si>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</si>
  <si>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</si>
  <si>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</si>
  <si>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</si>
  <si>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</si>
  <si>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</si>
  <si>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</si>
  <si>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</si>
  <si>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</si>
  <si>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</si>
  <si>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</si>
  <si>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</si>
  <si>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</si>
  <si>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</si>
  <si>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</si>
  <si>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</si>
  <si>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</si>
  <si>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</si>
  <si>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</si>
  <si>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</si>
  <si>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</si>
  <si>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</si>
  <si>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</si>
  <si>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</si>
  <si>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</si>
  <si>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</si>
  <si>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</si>
  <si>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</si>
  <si>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</si>
  <si>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</si>
  <si>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</si>
  <si>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</si>
  <si>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</si>
  <si>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</si>
  <si>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</si>
  <si>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</si>
  <si>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</si>
  <si>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</si>
  <si>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</si>
  <si>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</si>
  <si>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</si>
  <si>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</si>
  <si>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</si>
  <si>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</si>
  <si>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</si>
  <si>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</si>
  <si>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</si>
  <si>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</si>
  <si>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</si>
  <si>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</si>
  <si>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</si>
  <si>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</si>
  <si>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</si>
  <si>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</si>
  <si>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</si>
  <si>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</si>
  <si>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</si>
  <si>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</si>
  <si>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</si>
  <si>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</si>
  <si>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</si>
  <si>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</si>
  <si>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</si>
  <si>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</si>
  <si>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</si>
  <si>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</si>
  <si>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</si>
  <si>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</si>
  <si>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</si>
  <si>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</si>
  <si>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</si>
  <si>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</si>
  <si>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</si>
  <si>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</si>
  <si>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</si>
  <si>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</si>
  <si>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</si>
  <si>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</si>
  <si>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</si>
  <si>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</si>
  <si>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</si>
  <si>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</si>
  <si>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</si>
  <si>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</si>
  <si>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</si>
  <si>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</si>
  <si>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</si>
  <si>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</si>
  <si>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</si>
  <si>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</si>
  <si>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</si>
  <si>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</si>
  <si>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</si>
  <si>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</si>
  <si>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</si>
  <si>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</si>
  <si>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</si>
  <si>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</si>
  <si>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</si>
  <si>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</si>
  <si>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</si>
  <si>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</si>
  <si>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</si>
  <si>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</si>
  <si>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</si>
  <si>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</si>
  <si>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</si>
  <si>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</si>
  <si>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</si>
  <si>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</si>
  <si>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</si>
  <si>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</si>
  <si>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</si>
  <si>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</si>
  <si>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</si>
  <si>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</si>
  <si>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</si>
  <si>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</si>
  <si>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</si>
  <si>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</si>
  <si>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</si>
  <si>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</si>
  <si>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</si>
  <si>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</si>
  <si>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</si>
  <si>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</si>
  <si>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</si>
  <si>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</si>
  <si>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</si>
  <si>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</si>
  <si>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</si>
  <si>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</si>
  <si>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X</t>
  </si>
  <si>
    <t>EDSON JARANDIA NUNES</t>
  </si>
  <si>
    <t>BARUERI</t>
  </si>
  <si>
    <t>252/2026</t>
  </si>
  <si>
    <t>Dimensionamento de Frota</t>
  </si>
  <si>
    <t>Gestão Empresarial</t>
  </si>
  <si>
    <t>Gestão e Administração</t>
  </si>
  <si>
    <t>Engenharia de Tráfego e Segurança
Viária</t>
  </si>
  <si>
    <t>Declaração da Empresa - CET</t>
  </si>
  <si>
    <t>1.0.7</t>
  </si>
  <si>
    <t>Grade Horaria - Fatec Barueri Agosto 26</t>
  </si>
  <si>
    <t>Administração da Frota, Gestão do Transporte e da Frota, Transporte de Passageiros e Cargas, Logística Internacional, Administração de Terminais Portuários e Gestão de Custos Logísticos</t>
  </si>
  <si>
    <t>Metodologias Ativas para o Ensino e Aprendizagem, Metodologia e Dinâmicas de Aprendizagem, Teorias da Aprendizagem no Ensino Superior e Interdisciplinaridade e Transdisciplinaridade na Educação</t>
  </si>
  <si>
    <t>Congressos, Webnares, Eventos das instituições Unifesp, CREA, CRA, IFSP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</si>
</sst>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121" zoomScaleNormal="100" zoomScaleSheetLayoutView="84" workbookViewId="0">
      <selection activeCell="Z126" sqref="Z126"/>
    </sheetView>
  </sheetViews>
  <sheetFormatPr defaultColWidth="9.109375" defaultRowHeight="12" x14ac:dyDescent="0.25"/>
  <cols>
    <col min="1" max="1" width="2.88671875" style="6" customWidth="1"/>
    <col min="2" max="2" width="35.5546875" style="2" customWidth="1"/>
    <col min="3" max="3" width="22" style="29" customWidth="1"/>
    <col min="4" max="4" width="17.88671875" style="2" customWidth="1"/>
    <col min="5" max="5" width="14.6640625" style="2" customWidth="1"/>
    <col min="6" max="6" width="21.5546875" style="2" customWidth="1"/>
    <col min="7" max="7" width="19.6640625" style="28" customWidth="1"/>
    <col min="8" max="8" width="18.5546875" style="28" hidden="1" customWidth="1"/>
    <col min="9" max="10" width="18.5546875" style="2" hidden="1" customWidth="1"/>
    <col min="11" max="11" width="23.33203125" style="2" hidden="1" customWidth="1"/>
    <col min="12" max="12" width="25.6640625" style="2" hidden="1" customWidth="1"/>
    <col min="13" max="15" width="5.6640625" style="2" hidden="1" customWidth="1"/>
    <col min="16" max="16" width="1" style="2" hidden="1" customWidth="1"/>
    <col min="17" max="17" width="29.109375" style="2" hidden="1" customWidth="1"/>
    <col min="18" max="18" width="12.33203125" style="24" customWidth="1"/>
    <col min="19" max="19" width="9.109375" style="24" hidden="1" customWidth="1"/>
    <col min="20" max="22" width="8" style="61" hidden="1" customWidth="1"/>
    <col min="23" max="23" width="11.33203125" style="61" hidden="1" customWidth="1"/>
    <col min="24" max="24" width="0" style="24" hidden="1" customWidth="1"/>
    <col min="25" max="38" width="9.109375" style="24"/>
    <col min="39" max="16384" width="9.10937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5">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1</v>
      </c>
      <c r="N5" s="5">
        <f>IF(AND(L37=1,M5=1),1,0)</f>
        <v>0</v>
      </c>
      <c r="O5" s="5">
        <f>M5</f>
        <v>1</v>
      </c>
    </row>
    <row r="6" spans="1:18" ht="17.25" customHeight="1" thickBot="1" x14ac:dyDescent="0.3">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5">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t="s">
        <v>180</v>
      </c>
      <c r="D9" s="244"/>
      <c r="E9" s="245"/>
      <c r="F9" s="205" t="s">
        <v>7</v>
      </c>
      <c r="G9" s="175">
        <v>93306</v>
      </c>
      <c r="H9" s="125" t="s">
        <v>8</v>
      </c>
      <c r="I9" s="8"/>
      <c r="J9" s="8"/>
      <c r="K9" s="8"/>
      <c r="L9" s="8"/>
      <c r="M9" s="8"/>
      <c r="N9" s="8"/>
      <c r="O9" s="8"/>
    </row>
    <row r="10" spans="1:18" ht="27.75" customHeight="1" x14ac:dyDescent="0.2">
      <c r="A10" s="99">
        <v>2</v>
      </c>
      <c r="B10" s="172" t="s">
        <v>9</v>
      </c>
      <c r="C10" s="280" t="s">
        <v>181</v>
      </c>
      <c r="D10" s="281"/>
      <c r="E10" s="281"/>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1">
        <v>3</v>
      </c>
      <c r="B11" s="9" t="s">
        <v>11</v>
      </c>
      <c r="C11" s="285" t="s">
        <v>183</v>
      </c>
      <c r="D11" s="286"/>
      <c r="E11" s="286"/>
      <c r="F11" s="286"/>
      <c r="G11" s="287"/>
      <c r="H11" s="125"/>
      <c r="I11" s="8"/>
      <c r="J11" s="8"/>
      <c r="K11" s="8"/>
      <c r="L11" s="8" t="e">
        <f>IF(AND(H10=0,I10=1,J10=0),1,0)</f>
        <v>#REF!</v>
      </c>
      <c r="M11" s="8"/>
      <c r="N11" s="8"/>
      <c r="O11" s="8"/>
    </row>
    <row r="12" spans="1:18" ht="96" customHeight="1" x14ac:dyDescent="0.2">
      <c r="A12" s="252"/>
      <c r="B12" s="76" t="s">
        <v>176</v>
      </c>
      <c r="C12" s="285" t="s">
        <v>184</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t="s">
        <v>185</v>
      </c>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PREENCHIMENTO ESTÁ COMPLETO</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188</v>
      </c>
      <c r="H15" s="8"/>
      <c r="I15" s="8"/>
      <c r="J15" s="8"/>
      <c r="K15" s="8"/>
      <c r="L15" s="8" t="e">
        <f>IF(AND(L10=1,OR(L12=1,L13=1,L14=1)),1,0)</f>
        <v>#REF!</v>
      </c>
      <c r="M15" s="8"/>
      <c r="N15" s="8"/>
      <c r="O15" s="8"/>
    </row>
    <row r="16" spans="1:18" ht="59.25" customHeight="1" x14ac:dyDescent="0.25">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PREENCHIMENTO ESTÁ COMPLETO</v>
      </c>
      <c r="L16" s="8"/>
      <c r="M16" s="8" t="e">
        <f>IF(AND(L34=1,L37=1,L41=1),1,0)</f>
        <v>#REF!</v>
      </c>
      <c r="N16" s="8" t="e">
        <f>IF(AND(L34=1,L41=1),1,0)</f>
        <v>#REF!</v>
      </c>
      <c r="O16" s="8"/>
      <c r="P16" s="6"/>
      <c r="Q16" s="6"/>
      <c r="R16" s="62"/>
    </row>
    <row r="17" spans="1:38" ht="51" customHeight="1" thickBot="1" x14ac:dyDescent="0.25">
      <c r="A17" s="253"/>
      <c r="B17" s="288"/>
      <c r="C17" s="56" t="s">
        <v>18</v>
      </c>
      <c r="D17" s="277"/>
      <c r="E17" s="48" t="s">
        <v>179</v>
      </c>
      <c r="F17" s="272"/>
      <c r="G17" s="275"/>
      <c r="H17" s="21"/>
      <c r="I17" s="8"/>
      <c r="J17" s="8">
        <f>IF(E16="X",1,0)</f>
        <v>0</v>
      </c>
      <c r="K17" s="8"/>
      <c r="L17" s="10"/>
      <c r="M17" s="10">
        <f>N5</f>
        <v>0</v>
      </c>
      <c r="N17" s="10">
        <f>O5</f>
        <v>1</v>
      </c>
      <c r="O17" s="8">
        <f>IF(OR(M17=1,N17=1),1,0)</f>
        <v>1</v>
      </c>
    </row>
    <row r="18" spans="1:38" ht="51" customHeight="1" x14ac:dyDescent="0.2">
      <c r="A18" s="293" t="str">
        <f>K19</f>
        <v>PREENCHIMENTO ESTÁ COMPLETO</v>
      </c>
      <c r="B18" s="294"/>
      <c r="C18" s="294"/>
      <c r="D18" s="294"/>
      <c r="E18" s="294"/>
      <c r="F18" s="294"/>
      <c r="G18" s="295"/>
      <c r="H18" s="126"/>
      <c r="I18" s="8"/>
      <c r="J18" s="8"/>
      <c r="K18" s="8"/>
      <c r="L18" s="10"/>
      <c r="M18" s="10"/>
      <c r="N18" s="10"/>
      <c r="O18" s="8"/>
    </row>
    <row r="19" spans="1:38" ht="64.5" customHeight="1" thickBot="1" x14ac:dyDescent="0.25">
      <c r="A19" s="298" t="s">
        <v>19</v>
      </c>
      <c r="B19" s="299"/>
      <c r="C19" s="299"/>
      <c r="D19" s="299"/>
      <c r="E19" s="299"/>
      <c r="F19" s="299"/>
      <c r="G19" s="300"/>
      <c r="H19" s="127"/>
      <c r="I19" s="8">
        <f>SUM(J16:J19)</f>
        <v>1</v>
      </c>
      <c r="J19" s="8">
        <f>IF(E17="X",1,0)</f>
        <v>1</v>
      </c>
      <c r="K19" s="21" t="str">
        <f>IF(OR(AND(E15="",E16="",E17=""),I19&gt;1),"ASSINALE UMA OPÇÃO DE DISCIPLINA PARA NÃO TER A INSCRIÇÃO INVALIDADA","PREENCHIMENTO ESTÁ COMPLETO")</f>
        <v>PREENCHIMENTO ESTÁ COMPLETO</v>
      </c>
      <c r="L19" s="10"/>
      <c r="M19" s="10"/>
      <c r="N19" s="10"/>
      <c r="O19" s="8"/>
    </row>
    <row r="20" spans="1:38" ht="42" customHeight="1" thickBot="1" x14ac:dyDescent="0.3">
      <c r="A20" s="289">
        <v>5</v>
      </c>
      <c r="B20" s="296"/>
      <c r="C20" s="297"/>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
      </c>
      <c r="K20" s="4"/>
      <c r="L20" s="12">
        <f>IF(E15="x",1,0)</f>
        <v>0</v>
      </c>
      <c r="M20" s="12" t="e">
        <f>N6</f>
        <v>#REF!</v>
      </c>
      <c r="N20" s="12" t="e">
        <f>O6</f>
        <v>#REF!</v>
      </c>
      <c r="O20" s="8" t="e">
        <f>IF(OR(M20=1,N20=1),1,0)</f>
        <v>#REF!</v>
      </c>
    </row>
    <row r="21" spans="1:38" ht="37.5" customHeight="1" x14ac:dyDescent="0.25">
      <c r="A21" s="289"/>
      <c r="B21" s="77" t="s">
        <v>23</v>
      </c>
      <c r="C21" s="82" t="str">
        <f>IF(C13="","",C13)</f>
        <v>Gestão e Administração</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Gestão e Administração</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5">
      <c r="A27" s="290"/>
      <c r="B27" s="79" t="s">
        <v>29</v>
      </c>
      <c r="C27" s="82" t="str">
        <f>IF(C13="","",C13)</f>
        <v>Gestão e Administração</v>
      </c>
      <c r="D27" s="32">
        <v>30</v>
      </c>
      <c r="E27" s="33" t="s">
        <v>179</v>
      </c>
      <c r="F27" s="278" t="s">
        <v>186</v>
      </c>
      <c r="G27" s="279"/>
      <c r="H27" s="130"/>
      <c r="I27" s="8">
        <f>IF(E24="X",1,0)</f>
        <v>0</v>
      </c>
      <c r="J27" s="8">
        <f t="shared" si="1"/>
        <v>0</v>
      </c>
      <c r="K27" s="8"/>
      <c r="L27" s="12">
        <f>IF(E21="x",1,0)</f>
        <v>0</v>
      </c>
      <c r="M27" s="12">
        <f>IF(OR(N27=1,N29=1,N30=1,N31=1),1,0)</f>
        <v>0</v>
      </c>
      <c r="N27" s="12"/>
      <c r="O27" s="14"/>
    </row>
    <row r="28" spans="1:38" ht="29.25" customHeight="1" x14ac:dyDescent="0.25">
      <c r="A28" s="100">
        <v>6</v>
      </c>
      <c r="B28" s="36" t="s">
        <v>30</v>
      </c>
      <c r="C28" s="82" t="str">
        <f>IF(C13="","",C13)</f>
        <v>Gestão e Administração</v>
      </c>
      <c r="D28" s="32">
        <v>100</v>
      </c>
      <c r="E28" s="33" t="s">
        <v>179</v>
      </c>
      <c r="F28" s="278" t="s">
        <v>184</v>
      </c>
      <c r="G28" s="279"/>
      <c r="H28" s="129"/>
      <c r="I28" s="8">
        <f t="shared" si="0"/>
        <v>0</v>
      </c>
      <c r="J28" s="8">
        <f t="shared" si="1"/>
        <v>0</v>
      </c>
      <c r="K28" s="8"/>
      <c r="L28" s="12"/>
      <c r="M28" s="12"/>
      <c r="N28" s="12"/>
      <c r="O28" s="14"/>
    </row>
    <row r="29" spans="1:38" ht="31.5" customHeight="1" x14ac:dyDescent="0.25">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5">
      <c r="A30" s="101"/>
      <c r="B30" s="320" t="s">
        <v>32</v>
      </c>
      <c r="C30" s="321"/>
      <c r="D30" s="16" t="s">
        <v>33</v>
      </c>
      <c r="E30" s="33"/>
      <c r="F30" s="309"/>
      <c r="G30" s="310"/>
      <c r="H30" s="129"/>
      <c r="I30" s="8">
        <f t="shared" si="0"/>
        <v>1</v>
      </c>
      <c r="J30" s="8">
        <f t="shared" si="1"/>
        <v>30</v>
      </c>
      <c r="K30" s="8">
        <f>IF(AND(I30=1,I31=1),1,0)</f>
        <v>1</v>
      </c>
      <c r="L30" s="12">
        <f>IF(E24="x",1,0)</f>
        <v>0</v>
      </c>
      <c r="M30" s="13" t="e">
        <f>IF(AND(L21=1,M29=1),1,0)</f>
        <v>#REF!</v>
      </c>
      <c r="N30" s="12"/>
      <c r="O30" s="14"/>
    </row>
    <row r="31" spans="1:38" ht="42" customHeight="1" x14ac:dyDescent="0.25">
      <c r="A31" s="37">
        <v>7</v>
      </c>
      <c r="B31" s="25" t="s">
        <v>34</v>
      </c>
      <c r="C31" s="39" t="s">
        <v>35</v>
      </c>
      <c r="D31" s="16" t="s">
        <v>36</v>
      </c>
      <c r="E31" s="322"/>
      <c r="F31" s="311"/>
      <c r="G31" s="312"/>
      <c r="H31" s="129"/>
      <c r="I31" s="8">
        <f t="shared" si="0"/>
        <v>1</v>
      </c>
      <c r="J31" s="8">
        <f t="shared" si="1"/>
        <v>100</v>
      </c>
      <c r="K31" s="8">
        <f>IF(OR(K24=1,K30=1),1,0)</f>
        <v>1</v>
      </c>
      <c r="L31" s="12">
        <f>IF(E26="x",1,0)</f>
        <v>0</v>
      </c>
      <c r="M31" s="11" t="e">
        <f>IF(OR(M22=1,M30=1),1,0)</f>
        <v>#REF!</v>
      </c>
      <c r="N31" s="12"/>
      <c r="O31" s="8"/>
    </row>
    <row r="32" spans="1:38" ht="27.75" customHeight="1" thickBot="1" x14ac:dyDescent="0.3">
      <c r="A32" s="102">
        <v>8</v>
      </c>
      <c r="B32" s="38" t="s">
        <v>37</v>
      </c>
      <c r="C32" s="42"/>
      <c r="D32" s="40"/>
      <c r="E32" s="323"/>
      <c r="F32" s="311"/>
      <c r="G32" s="312"/>
      <c r="H32" s="131"/>
      <c r="I32" s="8"/>
      <c r="J32" s="8"/>
      <c r="K32" s="8"/>
      <c r="L32" s="12"/>
      <c r="M32" s="11"/>
      <c r="N32" s="12"/>
      <c r="O32" s="8"/>
    </row>
    <row r="33" spans="1:54" ht="39.75" customHeight="1" thickBot="1" x14ac:dyDescent="0.25">
      <c r="A33" s="103">
        <v>9</v>
      </c>
      <c r="B33" s="41" t="s">
        <v>38</v>
      </c>
      <c r="C33" s="165"/>
      <c r="D33" s="306" t="str">
        <f>IF(I22=0,"",IF(AND(I33=1,J33=1,H33=0),"CERTIFICADO VÁLIDO",IF(E30="","CANDIDATO SEM PROFICIÊNCIA EM INGLÊS",IF(J38&gt;5,"CERTIFICADO INVÁLIDO",IF(AND(J38&lt;=5,K33=1),"CERTIFICADO VÁLIDO")))))</f>
        <v/>
      </c>
      <c r="E33" s="307"/>
      <c r="F33" s="313"/>
      <c r="G33" s="314"/>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3">
      <c r="A34" s="308"/>
      <c r="B34" s="315" t="s">
        <v>39</v>
      </c>
      <c r="C34" s="316"/>
      <c r="D34" s="317"/>
      <c r="E34" s="302">
        <f ca="1">IF(OR(I19&lt;&gt;1,I34=0,J35=0,K31=0,D33="CERTIFICADO INVÁLIDO",D33="CANDIDATO SEM PROFICIÊNCIA EM INGLÊS"),"PONTUAÇÃO INVÁLIDA",J36)</f>
        <v>130</v>
      </c>
      <c r="F34" s="303"/>
      <c r="G34" s="304"/>
      <c r="H34" s="132"/>
      <c r="I34" s="58">
        <f>IF(AND(I33=0,J34=0,J16=1),0,1)</f>
        <v>1</v>
      </c>
      <c r="J34" s="14">
        <f>IF(J33=K33,0,1)</f>
        <v>0</v>
      </c>
      <c r="K34" s="59">
        <f ca="1">YEAR(E129)</f>
        <v>2026</v>
      </c>
      <c r="L34" s="12">
        <f>IF(E27="x",1,0)</f>
        <v>1</v>
      </c>
      <c r="M34" s="15" t="e">
        <f>IF(M33&gt;250,250,M33)</f>
        <v>#REF!</v>
      </c>
      <c r="N34" s="15" t="e">
        <f>IF(N33&gt;250,250,N33)</f>
        <v>#REF!</v>
      </c>
      <c r="O34" s="14"/>
    </row>
    <row r="35" spans="1:54" ht="44.25" customHeight="1" thickBot="1" x14ac:dyDescent="0.25">
      <c r="A35" s="308"/>
      <c r="B35" s="235" t="s">
        <v>40</v>
      </c>
      <c r="C35" s="318"/>
      <c r="D35" s="318"/>
      <c r="E35" s="318"/>
      <c r="F35" s="318"/>
      <c r="G35" s="319"/>
      <c r="H35" s="129"/>
      <c r="I35" s="8"/>
      <c r="J35" s="8">
        <f ca="1">IF(AND(K33=1,C33&lt;K35),0,1)</f>
        <v>1</v>
      </c>
      <c r="K35" s="57">
        <f ca="1">K34-5</f>
        <v>2021</v>
      </c>
      <c r="L35" s="10"/>
      <c r="M35" s="15"/>
      <c r="N35" s="10"/>
      <c r="O35" s="8"/>
    </row>
    <row r="36" spans="1:54" ht="214.5" customHeight="1" x14ac:dyDescent="0.25">
      <c r="A36" s="328" t="s">
        <v>41</v>
      </c>
      <c r="B36" s="329"/>
      <c r="C36" s="344" t="s">
        <v>42</v>
      </c>
      <c r="D36" s="74" t="s">
        <v>43</v>
      </c>
      <c r="E36" s="144" t="s">
        <v>44</v>
      </c>
      <c r="F36" s="326" t="s">
        <v>45</v>
      </c>
      <c r="G36" s="327"/>
      <c r="H36" s="129"/>
      <c r="I36" s="14"/>
      <c r="J36" s="14">
        <f>IF(SUM(J24:J31)&gt;350,350,SUM(J24:J31))</f>
        <v>130</v>
      </c>
      <c r="K36" s="14"/>
      <c r="L36" s="15"/>
      <c r="M36" s="15" t="e">
        <f>IF(M34&gt;250,250,M34)</f>
        <v>#REF!</v>
      </c>
      <c r="N36" s="15" t="e">
        <f>IF(N34&gt;250,250,N34)</f>
        <v>#REF!</v>
      </c>
      <c r="O36" s="14"/>
      <c r="Q36" s="6"/>
      <c r="R36" s="62"/>
    </row>
    <row r="37" spans="1:54" ht="215.25" customHeight="1" thickBot="1" x14ac:dyDescent="0.3">
      <c r="A37" s="330"/>
      <c r="B37" s="331"/>
      <c r="C37" s="345"/>
      <c r="D37" s="176">
        <v>44072</v>
      </c>
      <c r="E37" s="120">
        <f ca="1">TODAY()</f>
        <v>46266</v>
      </c>
      <c r="F37" s="142">
        <f ca="1">J43</f>
        <v>6</v>
      </c>
      <c r="G37" s="143">
        <f ca="1">K43</f>
        <v>0</v>
      </c>
      <c r="H37" s="129"/>
      <c r="I37" s="14"/>
      <c r="J37" s="14"/>
      <c r="K37" s="14"/>
      <c r="L37" s="12">
        <f>IF(E30="x",1,0)</f>
        <v>0</v>
      </c>
      <c r="M37" s="15"/>
      <c r="N37" s="12"/>
      <c r="O37" s="14"/>
    </row>
    <row r="38" spans="1:54" ht="86.25" customHeight="1" thickBot="1" x14ac:dyDescent="0.35">
      <c r="A38" s="332"/>
      <c r="B38" s="333"/>
      <c r="C38" s="346" t="s">
        <v>46</v>
      </c>
      <c r="D38" s="347"/>
      <c r="E38" s="186" t="s">
        <v>47</v>
      </c>
      <c r="F38" s="241" t="s">
        <v>22</v>
      </c>
      <c r="G38" s="242"/>
      <c r="H38" s="129"/>
      <c r="I38" s="14">
        <f ca="1">IF(J38&lt;5,1,0)</f>
        <v>0</v>
      </c>
      <c r="J38" s="2">
        <f ca="1">YEARFRAC(C33,I41,1)</f>
        <v>126.67145259345492</v>
      </c>
      <c r="K38">
        <f ca="1">(J38-TRUNC(J38))*12</f>
        <v>8.0574311214589898</v>
      </c>
      <c r="L38" s="12"/>
      <c r="M38" s="15"/>
      <c r="N38" s="12"/>
      <c r="O38" s="14"/>
      <c r="S38" s="24">
        <f ca="1">F37</f>
        <v>6</v>
      </c>
      <c r="U38" s="61">
        <f ca="1">G37</f>
        <v>0</v>
      </c>
    </row>
    <row r="39" spans="1:54" ht="42" customHeight="1" x14ac:dyDescent="0.3">
      <c r="A39" s="177"/>
      <c r="B39" s="178"/>
      <c r="C39" s="179" t="s">
        <v>48</v>
      </c>
      <c r="D39" s="179" t="s">
        <v>49</v>
      </c>
      <c r="E39" s="183"/>
      <c r="F39" s="184"/>
      <c r="G39" s="185"/>
      <c r="H39" s="129"/>
      <c r="I39" s="14"/>
      <c r="K39"/>
      <c r="L39" s="12"/>
      <c r="M39" s="15"/>
      <c r="N39" s="12"/>
      <c r="O39" s="14"/>
    </row>
    <row r="40" spans="1:54" ht="54" customHeight="1" x14ac:dyDescent="0.25">
      <c r="A40" s="113">
        <v>10</v>
      </c>
      <c r="B40" s="182" t="s">
        <v>50</v>
      </c>
      <c r="C40" s="199"/>
      <c r="D40" s="200"/>
      <c r="E40" s="188">
        <f>W40*30</f>
        <v>0</v>
      </c>
      <c r="F40" s="324"/>
      <c r="G40" s="325"/>
      <c r="H40" s="133"/>
      <c r="I40" s="14"/>
      <c r="J40" s="2" t="str">
        <f>IF(C33="","",TRUNC(J38))</f>
        <v/>
      </c>
      <c r="K40" s="2" t="str">
        <f>IF(C33="","",TRUNC(K38))</f>
        <v/>
      </c>
      <c r="L40" s="12"/>
      <c r="M40" s="15"/>
      <c r="N40" s="12"/>
      <c r="O40" s="14"/>
      <c r="S40" s="24">
        <f>C40</f>
        <v>0</v>
      </c>
      <c r="U40" s="61">
        <f>D40</f>
        <v>0</v>
      </c>
      <c r="W40" s="61">
        <f>S40+U40/12</f>
        <v>0</v>
      </c>
    </row>
    <row r="41" spans="1:54" ht="62.25" customHeight="1" x14ac:dyDescent="0.3">
      <c r="A41" s="107">
        <v>11</v>
      </c>
      <c r="B41" s="180" t="s">
        <v>51</v>
      </c>
      <c r="C41" s="201">
        <v>0</v>
      </c>
      <c r="D41" s="202">
        <v>2</v>
      </c>
      <c r="E41" s="188">
        <f>W41*25</f>
        <v>4.1666666666666661</v>
      </c>
      <c r="F41" s="324" t="s">
        <v>189</v>
      </c>
      <c r="G41" s="325"/>
      <c r="H41" s="128"/>
      <c r="I41" s="34">
        <f ca="1">TODAY()</f>
        <v>46266</v>
      </c>
      <c r="J41" s="2">
        <f ca="1">YEARFRAC(D37,E37,1)</f>
        <v>6.0062573328118889</v>
      </c>
      <c r="K41">
        <f ca="1">(J41-TRUNC(J41))*12</f>
        <v>7.5087993742666725E-2</v>
      </c>
      <c r="L41" s="12" t="e">
        <f>IF(#REF!="x",1,0)</f>
        <v>#REF!</v>
      </c>
      <c r="M41" s="18"/>
      <c r="N41" s="12"/>
      <c r="O41" s="17"/>
      <c r="S41" s="24">
        <f>C41</f>
        <v>0</v>
      </c>
      <c r="U41" s="61">
        <f>D41</f>
        <v>2</v>
      </c>
      <c r="W41" s="61">
        <f>S41+U41/12</f>
        <v>0.16666666666666666</v>
      </c>
    </row>
    <row r="42" spans="1:54" ht="113.4" customHeight="1" x14ac:dyDescent="0.25">
      <c r="A42" s="107">
        <v>12</v>
      </c>
      <c r="B42" s="180" t="s">
        <v>52</v>
      </c>
      <c r="C42" s="201"/>
      <c r="D42" s="202"/>
      <c r="E42" s="188">
        <f>W42*20</f>
        <v>0</v>
      </c>
      <c r="F42" s="324"/>
      <c r="G42" s="325"/>
      <c r="H42" s="134"/>
      <c r="I42" s="2">
        <f ca="1">YEAR(I41)</f>
        <v>2026</v>
      </c>
      <c r="J42" s="119">
        <f ca="1">IF(AND(D37&lt;&gt;0,E37&lt;&gt;0),+E37-D37-1,"")</f>
        <v>2193</v>
      </c>
      <c r="L42" s="19"/>
      <c r="M42" s="20"/>
      <c r="N42" s="20"/>
      <c r="S42" s="24">
        <f>C42</f>
        <v>0</v>
      </c>
      <c r="U42" s="61">
        <f>D42</f>
        <v>0</v>
      </c>
      <c r="W42" s="61">
        <f>S42+U42/12</f>
        <v>0</v>
      </c>
    </row>
    <row r="43" spans="1:54" ht="81" customHeight="1" x14ac:dyDescent="0.2">
      <c r="A43" s="108">
        <v>13</v>
      </c>
      <c r="B43" s="181" t="s">
        <v>53</v>
      </c>
      <c r="C43" s="201"/>
      <c r="D43" s="202"/>
      <c r="E43" s="188">
        <f>W43*15</f>
        <v>0</v>
      </c>
      <c r="F43" s="324"/>
      <c r="G43" s="325"/>
      <c r="H43" s="135"/>
      <c r="J43" s="2">
        <f ca="1">IF(D37="","",TRUNC(J41))</f>
        <v>6</v>
      </c>
      <c r="K43" s="2">
        <f ca="1">IF(D37="","",TRUNC(K41))</f>
        <v>0</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4"/>
      <c r="G44" s="325"/>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4"/>
      <c r="G45" s="325"/>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v>5</v>
      </c>
      <c r="D46" s="202">
        <v>10</v>
      </c>
      <c r="E46" s="188">
        <f>W46*20</f>
        <v>116.66666666666666</v>
      </c>
      <c r="F46" s="324" t="s">
        <v>187</v>
      </c>
      <c r="G46" s="325"/>
      <c r="H46" s="137"/>
      <c r="L46" s="21"/>
      <c r="M46" s="21"/>
      <c r="S46" s="24">
        <f t="shared" si="2"/>
        <v>5</v>
      </c>
      <c r="U46" s="61">
        <f t="shared" si="3"/>
        <v>10</v>
      </c>
      <c r="W46" s="61">
        <f t="shared" si="4"/>
        <v>5.833333333333333</v>
      </c>
    </row>
    <row r="47" spans="1:54" s="22" customFormat="1" ht="52.5" customHeight="1" thickBot="1" x14ac:dyDescent="0.3">
      <c r="A47" s="261"/>
      <c r="B47" s="315" t="s">
        <v>39</v>
      </c>
      <c r="C47" s="316"/>
      <c r="D47" s="317"/>
      <c r="E47" s="340">
        <f ca="1">K48</f>
        <v>120.83333333333333</v>
      </c>
      <c r="F47" s="341"/>
      <c r="G47" s="342"/>
      <c r="H47" s="137"/>
      <c r="L47" s="23" t="e">
        <f ca="1">IF(L45&gt;250,250,L45)</f>
        <v>#REF!</v>
      </c>
      <c r="M47" s="23"/>
      <c r="R47" s="63"/>
      <c r="S47" s="63"/>
      <c r="T47" s="61"/>
      <c r="U47" s="61"/>
      <c r="V47" s="61"/>
      <c r="W47" s="61">
        <f>SUM(W40:W46)</f>
        <v>6</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3">
      <c r="A48" s="262"/>
      <c r="B48" s="343" t="s">
        <v>57</v>
      </c>
      <c r="C48" s="318"/>
      <c r="D48" s="318"/>
      <c r="E48" s="318"/>
      <c r="F48" s="318"/>
      <c r="G48" s="319"/>
      <c r="H48" s="137"/>
      <c r="I48" s="60">
        <f>IF(SUM(E40:E46)&gt;350,350,SUM(E40:E46))</f>
        <v>120.83333333333333</v>
      </c>
      <c r="J48" s="22">
        <f>W47</f>
        <v>6</v>
      </c>
      <c r="K48" s="22">
        <f ca="1">IF(OR(AND(J48&lt;3,K24=1),AND(J48&lt;5,K24=0)),"TEMPO DE EXPERIÊNCIA INSUFICIENTE",IF(J48&gt;J41,"SOBREPOSIÇÃO DE ANOS DE EXPERIÊNCIA",IF(D37="","NÃO INFORMOU O ANO DA PRIMEIRA GRADUAÇÃO OU TITULAÇÃO NA ÁREA",L48)))</f>
        <v>120.83333333333333</v>
      </c>
      <c r="L48" s="23">
        <f ca="1">IF(J48&gt;J41,"SOBREPOSIÇÃO DE ANOS DE EXPERIÊNCIA",I48)</f>
        <v>120.83333333333333</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3">
      <c r="A49" s="338">
        <v>17</v>
      </c>
      <c r="B49" s="229" t="s">
        <v>58</v>
      </c>
      <c r="C49" s="71" t="s">
        <v>59</v>
      </c>
      <c r="D49" s="83" t="s">
        <v>60</v>
      </c>
      <c r="E49" s="55" t="s">
        <v>61</v>
      </c>
      <c r="F49" s="336" t="s">
        <v>22</v>
      </c>
      <c r="G49" s="337"/>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3">
      <c r="A50" s="339"/>
      <c r="B50" s="260"/>
      <c r="C50" s="204" t="s">
        <v>62</v>
      </c>
      <c r="D50" s="84">
        <v>100</v>
      </c>
      <c r="E50" s="189">
        <f>IF(D50&gt;100,50,IF(D50&gt;=1,0.5*D50,0))</f>
        <v>50</v>
      </c>
      <c r="F50" s="334" t="s">
        <v>190</v>
      </c>
      <c r="G50" s="335"/>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v>128</v>
      </c>
      <c r="E51" s="189">
        <f>IF(D51&gt;100,50,IF(D51&gt;=1,0.5*D51,0))</f>
        <v>50</v>
      </c>
      <c r="F51" s="334" t="s">
        <v>191</v>
      </c>
      <c r="G51" s="335"/>
      <c r="H51" s="137"/>
      <c r="L51" s="22">
        <f>IF(SUM(E40:E46)&lt;3,"TEMPO DE EXPERIÊNCIA INSUFICIENTE NA ÁREA DA DISCIPLINA", I48)</f>
        <v>120.83333333333333</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8"/>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5">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8">
        <v>21</v>
      </c>
      <c r="B57" s="254" t="s">
        <v>72</v>
      </c>
      <c r="C57" s="77" t="s">
        <v>73</v>
      </c>
      <c r="D57" s="89"/>
      <c r="E57" s="190">
        <f>D57*10</f>
        <v>0</v>
      </c>
      <c r="F57" s="207"/>
      <c r="G57" s="208"/>
      <c r="H57" s="140"/>
      <c r="I57" s="5"/>
      <c r="J57" s="5"/>
      <c r="K57" s="5"/>
      <c r="M57" s="5"/>
      <c r="N57" s="5"/>
      <c r="O57" s="5"/>
    </row>
    <row r="58" spans="1:54" ht="57" customHeight="1" thickBot="1" x14ac:dyDescent="0.25">
      <c r="A58" s="339"/>
      <c r="B58" s="260"/>
      <c r="C58" s="77" t="s">
        <v>74</v>
      </c>
      <c r="D58" s="90"/>
      <c r="E58" s="190">
        <f>D58*5</f>
        <v>0</v>
      </c>
      <c r="F58" s="207"/>
      <c r="G58" s="208"/>
      <c r="H58" s="139"/>
      <c r="L58" s="8"/>
    </row>
    <row r="59" spans="1:54" ht="51.9" customHeight="1" x14ac:dyDescent="0.2">
      <c r="A59" s="349">
        <v>22</v>
      </c>
      <c r="B59" s="230" t="s">
        <v>75</v>
      </c>
      <c r="C59" s="30" t="s">
        <v>76</v>
      </c>
      <c r="D59" s="89"/>
      <c r="E59" s="190">
        <f>D59*5</f>
        <v>0</v>
      </c>
      <c r="F59" s="207"/>
      <c r="G59" s="208"/>
      <c r="H59" s="139"/>
      <c r="I59" s="8"/>
      <c r="J59" s="8"/>
      <c r="K59" s="8"/>
      <c r="L59" s="8"/>
      <c r="M59" s="8"/>
      <c r="N59" s="8"/>
      <c r="O59" s="8"/>
    </row>
    <row r="60" spans="1:54" ht="51.9" customHeight="1" x14ac:dyDescent="0.2">
      <c r="A60" s="264"/>
      <c r="B60" s="260"/>
      <c r="C60" s="77" t="s">
        <v>77</v>
      </c>
      <c r="D60" s="90"/>
      <c r="E60" s="190">
        <f>D60*2.5</f>
        <v>0</v>
      </c>
      <c r="F60" s="207"/>
      <c r="G60" s="208"/>
      <c r="H60" s="139"/>
      <c r="I60" s="8"/>
      <c r="J60" s="8"/>
      <c r="K60" s="8"/>
      <c r="L60" s="8"/>
      <c r="M60" s="8"/>
      <c r="N60" s="8"/>
      <c r="O60" s="8"/>
    </row>
    <row r="61" spans="1:54" ht="51.9" customHeight="1" x14ac:dyDescent="0.2">
      <c r="A61" s="101">
        <v>23</v>
      </c>
      <c r="B61" s="77" t="s">
        <v>78</v>
      </c>
      <c r="C61" s="77" t="s">
        <v>79</v>
      </c>
      <c r="D61" s="90"/>
      <c r="E61" s="190">
        <f>D61*2</f>
        <v>0</v>
      </c>
      <c r="F61" s="207"/>
      <c r="G61" s="208"/>
      <c r="H61" s="139"/>
      <c r="I61" s="8"/>
      <c r="J61" s="8"/>
      <c r="K61" s="8"/>
      <c r="L61" s="8"/>
      <c r="M61" s="8"/>
      <c r="N61" s="8"/>
      <c r="O61" s="8"/>
    </row>
    <row r="62" spans="1:54" ht="51.9"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8"/>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 hidden="1" customHeight="1" x14ac:dyDescent="0.2">
      <c r="A68" s="45">
        <v>26</v>
      </c>
      <c r="B68" s="30" t="s">
        <v>91</v>
      </c>
      <c r="C68" s="30" t="s">
        <v>92</v>
      </c>
      <c r="D68" s="94"/>
      <c r="E68" s="190">
        <f>D68*2</f>
        <v>0</v>
      </c>
      <c r="F68" s="207"/>
      <c r="G68" s="208"/>
      <c r="H68" s="5"/>
      <c r="I68" s="8"/>
      <c r="J68" s="8"/>
      <c r="K68" s="8"/>
      <c r="L68" s="5"/>
      <c r="M68" s="8"/>
      <c r="N68" s="8"/>
      <c r="O68" s="8"/>
    </row>
    <row r="69" spans="1:38" ht="27.9" hidden="1" customHeight="1" x14ac:dyDescent="0.2">
      <c r="A69" s="105">
        <v>27</v>
      </c>
      <c r="B69" s="30" t="s">
        <v>93</v>
      </c>
      <c r="C69" s="30" t="s">
        <v>94</v>
      </c>
      <c r="D69" s="94"/>
      <c r="E69" s="190">
        <f>D69</f>
        <v>0</v>
      </c>
      <c r="F69" s="207"/>
      <c r="G69" s="208"/>
      <c r="H69" s="139"/>
      <c r="I69" s="5"/>
      <c r="J69" s="5"/>
      <c r="K69" s="5"/>
      <c r="L69" s="8"/>
      <c r="M69" s="5"/>
      <c r="N69" s="5"/>
      <c r="O69" s="5"/>
    </row>
    <row r="70" spans="1:38" ht="27.9" customHeight="1" thickBot="1" x14ac:dyDescent="0.25">
      <c r="A70" s="104">
        <v>28</v>
      </c>
      <c r="B70" s="31" t="s">
        <v>95</v>
      </c>
      <c r="C70" s="31" t="s">
        <v>96</v>
      </c>
      <c r="D70" s="95">
        <v>300</v>
      </c>
      <c r="E70" s="190">
        <f>D70*0.5</f>
        <v>150</v>
      </c>
      <c r="F70" s="207" t="s">
        <v>192</v>
      </c>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3">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3">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250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5">
      <c r="A123" s="161"/>
      <c r="B123" s="153"/>
      <c r="C123" s="162"/>
      <c r="D123" s="153"/>
      <c r="E123" s="153"/>
      <c r="F123" s="153"/>
      <c r="G123" s="154"/>
      <c r="H123" s="2"/>
    </row>
    <row r="124" spans="1:38" ht="38.25" customHeight="1" thickBot="1" x14ac:dyDescent="0.3">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3">
      <c r="A126" s="152"/>
      <c r="B126" s="153"/>
      <c r="C126" s="153"/>
      <c r="D126" s="153"/>
      <c r="E126" s="153"/>
      <c r="F126" s="153"/>
      <c r="G126" s="154"/>
    </row>
    <row r="127" spans="1:38" ht="45.6" customHeight="1" thickBot="1" x14ac:dyDescent="0.25">
      <c r="A127" s="214" t="s">
        <v>173</v>
      </c>
      <c r="B127" s="215"/>
      <c r="C127" s="215"/>
      <c r="D127" s="216"/>
      <c r="E127" s="217">
        <f ca="1">IF(AND(ISNUMBER(E34),ISNUMBER(E47),ISNUMBER(E111),ISNUMBER(126),K16="preenchimento está completo",K19="preenchimento está completo"),E111+E34+E47+E125,"INSCRIÇÃO INDEFERIDA")</f>
        <v>500.83333333333331</v>
      </c>
      <c r="F127" s="218"/>
      <c r="G127" s="219"/>
    </row>
    <row r="128" spans="1:38" ht="40.5" customHeight="1" x14ac:dyDescent="0.25">
      <c r="A128" s="226" t="s">
        <v>174</v>
      </c>
      <c r="B128" s="226"/>
      <c r="C128" s="220"/>
      <c r="D128" s="220"/>
      <c r="E128" s="220"/>
      <c r="F128" s="220"/>
      <c r="G128" s="221"/>
    </row>
    <row r="129" spans="1:7" ht="25.5" customHeight="1" x14ac:dyDescent="0.25">
      <c r="A129" s="227"/>
      <c r="B129" s="227"/>
      <c r="C129" s="209"/>
      <c r="D129" s="209"/>
      <c r="E129" s="222">
        <f ca="1">NOW()</f>
        <v>46266.874370370373</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3.8" x14ac:dyDescent="0.25">
      <c r="A134" s="227"/>
      <c r="B134" s="227"/>
      <c r="C134" s="209"/>
      <c r="D134" s="209"/>
      <c r="E134" s="209" t="s">
        <v>175</v>
      </c>
      <c r="F134" s="209"/>
      <c r="G134" s="223"/>
    </row>
    <row r="135" spans="1:7" ht="14.4" thickBot="1" x14ac:dyDescent="0.3">
      <c r="A135" s="159"/>
      <c r="B135" s="160"/>
      <c r="C135" s="225"/>
      <c r="D135" s="225"/>
      <c r="E135" s="157"/>
      <c r="F135" s="158"/>
      <c r="G135" s="224"/>
    </row>
    <row r="136" spans="1:7" ht="13.8" x14ac:dyDescent="0.25">
      <c r="A136" s="62"/>
      <c r="C136" s="155"/>
      <c r="D136" s="155"/>
      <c r="E136" s="155"/>
      <c r="F136" s="155"/>
      <c r="G136" s="156"/>
    </row>
    <row r="137" spans="1:7" x14ac:dyDescent="0.25">
      <c r="A137" s="62"/>
    </row>
    <row r="138" spans="1:7" x14ac:dyDescent="0.25">
      <c r="A138" s="62"/>
    </row>
    <row r="139" spans="1:7" x14ac:dyDescent="0.25">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EDSON JARANDIA NUNES</cp:lastModifiedBy>
  <cp:revision/>
  <cp:lastPrinted>2026-01-26T15:01:00Z</cp:lastPrinted>
  <dcterms:created xsi:type="dcterms:W3CDTF">2014-10-07T12:05:22Z</dcterms:created>
  <dcterms:modified xsi:type="dcterms:W3CDTF">2026-09-02T00:20:49Z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