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Y:\ADMINISTRATIVO\FATEC FERRAZ\RH\AMPLIAÇÃO\EDITAL GERAL MODELO NOVO\2025\"/>
    </mc:Choice>
  </mc:AlternateContent>
  <xr:revisionPtr revIDLastSave="0" documentId="8_{552F0FE8-4D0B-4A11-A646-81836A1B94F5}" xr6:coauthVersionLast="36" xr6:coauthVersionMax="36" xr10:uidLastSave="{00000000-0000-0000-0000-000000000000}"/>
  <bookViews>
    <workbookView xWindow="0" yWindow="0" windowWidth="24000" windowHeight="952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<sst xmlns="http://schemas.openxmlformats.org/spreadsheetml/2006/main" count="215" uniqueCount="179">
  <si>
    <t>I</t>
  </si>
  <si>
    <t>E</t>
  </si>
  <si>
    <t>PÓS NA ÁREA</t>
  </si>
  <si>
    <t xml:space="preserve">Tabela de Pontuação para Alteração de Carga Horária Docente - Cursos Superiores de Tecnologia </t>
  </si>
  <si>
    <t>PÓS FORA</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</si>
  <si>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</si>
  <si>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</si>
  <si>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</si>
  <si>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</si>
  <si>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</si>
  <si>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</si>
  <si>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</si>
  <si>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</si>
  <si>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TABELA DE ÁREAS CESU EM </t>
    </r>
    <r>
      <rPr>
        <b/>
        <sz val="9"/>
        <color theme="1"/>
        <rFont val="Arial"/>
        <family val="2"/>
      </rPr>
      <t>https://cesu.cps.sp.gov.br/diretrizes-para-alteracao-de-carga-horaria-docente-concurso-publico-pss/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</si>
  <si>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</si>
  <si>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</si>
  <si>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</si>
  <si>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</si>
  <si>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</si>
  <si>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</si>
  <si>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</si>
  <si>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</si>
  <si>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</si>
  <si>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</si>
  <si>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</si>
  <si>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</si>
  <si>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</si>
  <si>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</si>
  <si>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</si>
  <si>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</si>
  <si>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</si>
  <si>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</si>
  <si>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</si>
  <si>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</si>
  <si>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</si>
  <si>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</si>
  <si>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</si>
  <si>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</si>
  <si>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</si>
  <si>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</si>
  <si>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</si>
  <si>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</si>
  <si>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</si>
  <si>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</si>
  <si>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</si>
  <si>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</si>
  <si>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</si>
  <si>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</si>
  <si>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</si>
  <si>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</si>
  <si>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</si>
  <si>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</si>
  <si>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</si>
  <si>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</si>
  <si>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</si>
  <si>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</si>
  <si>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</si>
  <si>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</si>
  <si>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</si>
  <si>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</si>
  <si>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</si>
  <si>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</si>
  <si>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</si>
  <si>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</si>
  <si>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</si>
  <si>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</si>
  <si>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</si>
  <si>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</si>
  <si>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</si>
  <si>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</si>
  <si>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</si>
  <si>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</si>
  <si>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</si>
  <si>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</si>
  <si>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</si>
  <si>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</si>
  <si>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</si>
  <si>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</si>
  <si>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</si>
  <si>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</si>
  <si>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</si>
  <si>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</si>
  <si>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</si>
  <si>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</si>
  <si>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</si>
  <si>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</si>
  <si>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</si>
  <si>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</si>
  <si>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</si>
  <si>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</si>
  <si>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</si>
  <si>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</si>
  <si>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</si>
  <si>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</si>
  <si>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</si>
  <si>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</si>
  <si>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</si>
  <si>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</si>
  <si>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</si>
  <si>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</si>
  <si>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</si>
  <si>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</si>
  <si>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</si>
  <si>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</si>
  <si>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</si>
  <si>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</si>
  <si>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</si>
  <si>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</si>
  <si>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</si>
  <si>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</si>
  <si>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</si>
  <si>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</si>
  <si>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</si>
  <si>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</si>
  <si>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</si>
  <si>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</si>
  <si>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</si>
  <si>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</si>
  <si>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</si>
  <si>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</si>
  <si>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</si>
  <si>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</si>
  <si>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</si>
  <si>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</si>
  <si>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</si>
  <si>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</si>
  <si>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</si>
  <si>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</si>
  <si>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</si>
  <si>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</si>
  <si>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</si>
  <si>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</si>
  <si>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</si>
  <si>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</si>
  <si>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</si>
  <si>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</si>
  <si>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</si>
  <si>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</si>
  <si>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</si>
  <si>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</si>
  <si>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</si>
  <si>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</si>
  <si>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</si>
  <si>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</si>
  <si>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</si>
  <si>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</si>
  <si>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</si>
  <si>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</si>
  <si>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</si>
  <si>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</si>
  <si>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</si>
  <si>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</si>
  <si>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</si>
  <si>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</si>
  <si>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</si>
  <si>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</si>
  <si>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</si>
  <si>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</si>
  <si>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</si>
  <si>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</si>
  <si>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</si>
  <si>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</si>
  <si>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</si>
  <si>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</si>
  <si>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</si>
  <si>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</si>
  <si>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</si>
  <si>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</si>
  <si>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</si>
  <si>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</si>
  <si>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</si>
  <si>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</si>
  <si>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</si>
  <si>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</si>
  <si>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</si>
  <si>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</si>
  <si>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</si>
  <si>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</si>
  <si>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Versão 02/07/2025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</si>
</sst>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heetViews>
  <sheetFormatPr defaultColWidth="9.140625" defaultRowHeight="12" x14ac:dyDescent="0.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hidden="1" customWidth="1"/>
    <col min="20" max="22" width="8" style="61" hidden="1" customWidth="1"/>
    <col min="23" max="23" width="11.28515625" style="61" hidden="1" customWidth="1"/>
    <col min="24" max="24" width="0" style="24" hidden="1" customWidth="1"/>
    <col min="25" max="38" width="9.140625" style="24"/>
    <col min="39" max="16384" width="9.140625" style="2"/>
  </cols>
  <sheetData>
    <row r="1" spans="1:18" x14ac:dyDescent="0.2">
      <c r="A1" s="69"/>
      <c r="B1" s="65"/>
      <c r="C1" s="35"/>
      <c r="D1" s="35"/>
      <c r="E1" s="35"/>
      <c r="F1" s="65"/>
      <c r="G1" s="66"/>
      <c r="H1" s="121"/>
      <c r="I1" s="1"/>
    </row>
    <row r="2" spans="1:18" x14ac:dyDescent="0.2">
      <c r="A2" s="70"/>
      <c r="B2" s="67"/>
      <c r="C2" s="7"/>
      <c r="D2" s="7"/>
      <c r="E2" s="7"/>
      <c r="F2" s="67"/>
      <c r="G2" s="68"/>
      <c r="H2" s="122"/>
      <c r="I2" s="3"/>
    </row>
    <row r="3" spans="1:18" x14ac:dyDescent="0.2">
      <c r="A3" s="70"/>
      <c r="B3" s="67"/>
      <c r="C3" s="7"/>
      <c r="D3" s="7"/>
      <c r="E3" s="7"/>
      <c r="F3" s="67"/>
      <c r="G3" s="68"/>
      <c r="H3" s="122"/>
      <c r="I3" s="3"/>
    </row>
    <row r="4" spans="1:18" x14ac:dyDescent="0.2">
      <c r="A4" s="70"/>
      <c r="B4" s="67"/>
      <c r="C4" s="7"/>
      <c r="D4" s="7"/>
      <c r="E4" s="7"/>
      <c r="F4" s="67"/>
      <c r="G4" s="68"/>
      <c r="H4" s="122"/>
      <c r="I4" s="3"/>
      <c r="N4" s="4" t="s">
        <v>0</v>
      </c>
      <c r="O4" s="4" t="s">
        <v>1</v>
      </c>
    </row>
    <row r="5" spans="1:18" ht="24" customHeight="1" thickBot="1" x14ac:dyDescent="0.25">
      <c r="A5" s="70"/>
      <c r="B5" s="67"/>
      <c r="C5" s="7"/>
      <c r="D5" s="7"/>
      <c r="E5" s="7"/>
      <c r="F5" s="67"/>
      <c r="G5" s="68"/>
      <c r="H5" s="122"/>
      <c r="I5" s="3"/>
      <c r="L5" s="5" t="s">
        <v>2</v>
      </c>
      <c r="M5" s="5">
        <f>IF(OR(L27=1,L30=1, L34=1),1,0)</f>
        <v>0</v>
      </c>
      <c r="N5" s="5">
        <f>IF(AND(L37=1,M5=1),1,0)</f>
        <v>0</v>
      </c>
      <c r="O5" s="5">
        <f>M5</f>
        <v>0</v>
      </c>
    </row>
    <row r="6" spans="1:18" ht="17.25" customHeight="1" thickBot="1" x14ac:dyDescent="0.25">
      <c r="A6" s="265" t="s">
        <v>3</v>
      </c>
      <c r="B6" s="266"/>
      <c r="C6" s="266"/>
      <c r="D6" s="266"/>
      <c r="E6" s="266"/>
      <c r="F6" s="266"/>
      <c r="G6" s="267"/>
      <c r="H6" s="123"/>
      <c r="I6" s="6"/>
      <c r="J6" s="6"/>
      <c r="K6" s="6"/>
      <c r="L6" s="5" t="s">
        <v>4</v>
      </c>
      <c r="M6" s="5">
        <f>IF(OR(L29=1,L31=1),1,0)</f>
        <v>0</v>
      </c>
      <c r="N6" s="5" t="e">
        <f>IF(AND(L41=1,L37=1,M6=1),1,0)</f>
        <v>#REF!</v>
      </c>
      <c r="O6" s="5" t="e">
        <f>IF(AND(L41=1,M6=1),1,0)</f>
        <v>#REF!</v>
      </c>
      <c r="P6" s="6"/>
      <c r="Q6" s="6"/>
    </row>
    <row r="7" spans="1:18" ht="15" customHeight="1" thickBot="1" x14ac:dyDescent="0.3">
      <c r="A7" s="268" t="s">
        <v>178</v>
      </c>
      <c r="B7" s="269"/>
      <c r="C7" s="269"/>
      <c r="D7" s="269"/>
      <c r="E7" s="269"/>
      <c r="F7" s="269"/>
      <c r="G7" s="270"/>
      <c r="H7" s="124"/>
      <c r="I7" s="7"/>
      <c r="J7" s="7"/>
      <c r="K7" s="7"/>
      <c r="L7" s="7"/>
      <c r="M7" s="5"/>
      <c r="N7" s="7"/>
      <c r="O7" s="7"/>
      <c r="Q7" t="s">
        <v>5</v>
      </c>
    </row>
    <row r="8" spans="1:18" ht="15" customHeight="1" thickBot="1" x14ac:dyDescent="0.25">
      <c r="A8" s="282" t="s">
        <v>6</v>
      </c>
      <c r="B8" s="283"/>
      <c r="C8" s="283"/>
      <c r="D8" s="283"/>
      <c r="E8" s="283"/>
      <c r="F8" s="283"/>
      <c r="G8" s="284"/>
      <c r="H8" s="125"/>
      <c r="I8" s="8"/>
      <c r="J8" s="8"/>
      <c r="K8" s="8"/>
      <c r="L8" s="8"/>
      <c r="M8" s="8"/>
      <c r="N8" s="8"/>
      <c r="O8" s="8"/>
    </row>
    <row r="9" spans="1:18" ht="45.6" customHeight="1" thickBot="1" x14ac:dyDescent="0.25">
      <c r="A9" s="173">
        <v>1</v>
      </c>
      <c r="B9" s="174" t="s">
        <v>7</v>
      </c>
      <c r="C9" s="243"/>
      <c r="D9" s="244"/>
      <c r="E9" s="245"/>
      <c r="F9" s="205" t="s">
        <v>8</v>
      </c>
      <c r="G9" s="175"/>
      <c r="H9" s="125" t="s">
        <v>9</v>
      </c>
      <c r="I9" s="8"/>
      <c r="J9" s="8"/>
      <c r="K9" s="8"/>
      <c r="L9" s="8"/>
      <c r="M9" s="8"/>
      <c r="N9" s="8"/>
      <c r="O9" s="8"/>
    </row>
    <row r="10" spans="1:18" ht="27.75" customHeight="1" x14ac:dyDescent="0.2">
      <c r="A10" s="99">
        <v>2</v>
      </c>
      <c r="B10" s="172" t="s">
        <v>10</v>
      </c>
      <c r="C10" s="280"/>
      <c r="D10" s="281"/>
      <c r="E10" s="281"/>
      <c r="F10" s="98" t="s">
        <v>11</v>
      </c>
      <c r="G10" s="169"/>
      <c r="H10" s="125" t="e">
        <f>IF(#REF!="X",1,0)</f>
        <v>#REF!</v>
      </c>
      <c r="I10" s="125" t="e">
        <f>IF(#REF!="X",1,0)</f>
        <v>#REF!</v>
      </c>
      <c r="J10" s="125" t="e">
        <f>IF(#REF!="X",1,0)</f>
        <v>#REF!</v>
      </c>
      <c r="K10" s="8"/>
      <c r="L10" s="146" t="e">
        <f>IF(SUM(H10:J10)=0,0,IF(SUM(H10:J10)&gt;1,0,1))</f>
        <v>#REF!</v>
      </c>
      <c r="M10" s="8"/>
      <c r="N10" s="8"/>
      <c r="O10" s="8"/>
    </row>
    <row r="11" spans="1:18" ht="29.25" customHeight="1" x14ac:dyDescent="0.2">
      <c r="A11" s="301">
        <v>3</v>
      </c>
      <c r="B11" s="9" t="s">
        <v>12</v>
      </c>
      <c r="C11" s="285"/>
      <c r="D11" s="286"/>
      <c r="E11" s="286"/>
      <c r="F11" s="286"/>
      <c r="G11" s="287"/>
      <c r="H11" s="125"/>
      <c r="I11" s="8"/>
      <c r="J11" s="8"/>
      <c r="K11" s="8"/>
      <c r="L11" s="8" t="e">
        <f>IF(AND(H10=0,I10=1,J10=0),1,0)</f>
        <v>#REF!</v>
      </c>
      <c r="M11" s="8"/>
      <c r="N11" s="8"/>
      <c r="O11" s="8"/>
    </row>
    <row r="12" spans="1:18" ht="59.25" customHeight="1" x14ac:dyDescent="0.2">
      <c r="A12" s="252"/>
      <c r="B12" s="76" t="s">
        <v>13</v>
      </c>
      <c r="C12" s="285"/>
      <c r="D12" s="286"/>
      <c r="E12" s="286"/>
      <c r="F12" s="286"/>
      <c r="G12" s="287"/>
      <c r="H12" s="125" t="e">
        <f>IF(#REF!="X",1,0)</f>
        <v>#REF!</v>
      </c>
      <c r="I12" s="125" t="e">
        <f>IF(#REF!="X",1,0)</f>
        <v>#REF!</v>
      </c>
      <c r="J12" s="125" t="e">
        <f>IF(#REF!="X",1,0)</f>
        <v>#REF!</v>
      </c>
      <c r="K12" s="125" t="e">
        <f>IF(#REF!="X",1,0)</f>
        <v>#REF!</v>
      </c>
      <c r="L12" s="146" t="e">
        <f>IF(AND(H10=1,H12=0,I12=0,J12=0,K12=0),1,0)</f>
        <v>#REF!</v>
      </c>
      <c r="M12" s="8"/>
      <c r="N12" s="8"/>
      <c r="O12" s="8"/>
    </row>
    <row r="13" spans="1:18" ht="61.5" customHeight="1" thickBot="1" x14ac:dyDescent="0.25">
      <c r="A13" s="252"/>
      <c r="B13" s="114" t="s">
        <v>14</v>
      </c>
      <c r="C13" s="285"/>
      <c r="D13" s="286"/>
      <c r="E13" s="286"/>
      <c r="F13" s="286"/>
      <c r="G13" s="287"/>
      <c r="H13" s="125" t="e">
        <f>IF(_xlfn.XOR(H12=1,I12=1),1,0)</f>
        <v>#REF!</v>
      </c>
      <c r="I13" s="146"/>
      <c r="J13" s="125" t="e">
        <f>IF(_xlfn.XOR(J12=1,K12=1),1,0)</f>
        <v>#REF!</v>
      </c>
      <c r="K13" s="8" t="e">
        <f>IF(AND(H13=1,J13=1),1,0)</f>
        <v>#REF!</v>
      </c>
      <c r="L13" s="146" t="e">
        <f>IF(AND(I10=1,K13=1,#REF!=1),1,0)</f>
        <v>#REF!</v>
      </c>
      <c r="M13" s="8"/>
      <c r="N13" s="8"/>
      <c r="O13" s="8"/>
    </row>
    <row r="14" spans="1:18" ht="30.75" customHeight="1" thickBot="1" x14ac:dyDescent="0.25">
      <c r="A14" s="249" t="str">
        <f>K16</f>
        <v>PREENCHA TODOS OS CAMPOS ACIMA PARA NÃO TER SUA INSCRIÇÃO INVALIDADA</v>
      </c>
      <c r="B14" s="250"/>
      <c r="C14" s="250"/>
      <c r="D14" s="250"/>
      <c r="E14" s="250"/>
      <c r="F14" s="250"/>
      <c r="G14" s="251"/>
      <c r="H14" s="7"/>
      <c r="I14" s="8"/>
      <c r="J14" s="8"/>
      <c r="K14" s="8"/>
      <c r="L14" s="146" t="e">
        <f>IF(AND(J10=1,H12=0,I12=0,J12=0,K12=0),1,0)</f>
        <v>#REF!</v>
      </c>
      <c r="M14" s="8"/>
      <c r="N14" s="8"/>
      <c r="O14" s="8"/>
    </row>
    <row r="15" spans="1:18" ht="24" customHeight="1" x14ac:dyDescent="0.2">
      <c r="A15" s="252">
        <v>4</v>
      </c>
      <c r="B15" s="247" t="s">
        <v>15</v>
      </c>
      <c r="C15" s="115" t="s">
        <v>16</v>
      </c>
      <c r="D15" s="276" t="s">
        <v>17</v>
      </c>
      <c r="E15" s="116"/>
      <c r="F15" s="271" t="s">
        <v>18</v>
      </c>
      <c r="G15" s="273"/>
      <c r="H15" s="8"/>
      <c r="I15" s="8"/>
      <c r="J15" s="8"/>
      <c r="K15" s="8"/>
      <c r="L15" s="8" t="e">
        <f>IF(AND(L10=1,OR(L12=1,L13=1,L14=1)),1,0)</f>
        <v>#REF!</v>
      </c>
      <c r="M15" s="8"/>
      <c r="N15" s="8"/>
      <c r="O15" s="8"/>
    </row>
    <row r="16" spans="1:18" ht="59.25" customHeight="1" x14ac:dyDescent="0.2">
      <c r="A16" s="252"/>
      <c r="B16" s="247"/>
      <c r="C16" s="46" t="s">
        <v>19</v>
      </c>
      <c r="D16" s="276"/>
      <c r="E16" s="47"/>
      <c r="F16" s="271"/>
      <c r="G16" s="274"/>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x14ac:dyDescent="0.25">
      <c r="A17" s="253"/>
      <c r="B17" s="288"/>
      <c r="C17" s="56" t="s">
        <v>20</v>
      </c>
      <c r="D17" s="277"/>
      <c r="E17" s="48"/>
      <c r="F17" s="272"/>
      <c r="G17" s="275"/>
      <c r="H17" s="21"/>
      <c r="I17" s="8"/>
      <c r="J17" s="8">
        <f>IF(E16="X",1,0)</f>
        <v>0</v>
      </c>
      <c r="K17" s="8"/>
      <c r="L17" s="10"/>
      <c r="M17" s="10">
        <f>N5</f>
        <v>0</v>
      </c>
      <c r="N17" s="10">
        <f>O5</f>
        <v>0</v>
      </c>
      <c r="O17" s="8">
        <f>IF(OR(M17=1,N17=1),1,0)</f>
        <v>0</v>
      </c>
    </row>
    <row r="18" spans="1:38" ht="51" customHeight="1" x14ac:dyDescent="0.2">
      <c r="A18" s="293" t="str">
        <f>K19</f>
        <v>ASSINALE UMA OPÇÃO DE DISCIPLINA PARA NÃO TER A INSCRIÇÃO INVALIDADA</v>
      </c>
      <c r="B18" s="294"/>
      <c r="C18" s="294"/>
      <c r="D18" s="294"/>
      <c r="E18" s="294"/>
      <c r="F18" s="294"/>
      <c r="G18" s="295"/>
      <c r="H18" s="126"/>
      <c r="I18" s="8"/>
      <c r="J18" s="8"/>
      <c r="K18" s="8"/>
      <c r="L18" s="10"/>
      <c r="M18" s="10"/>
      <c r="N18" s="10"/>
      <c r="O18" s="8"/>
    </row>
    <row r="19" spans="1:38" ht="64.5" customHeight="1" thickBot="1" x14ac:dyDescent="0.25">
      <c r="A19" s="298" t="s">
        <v>21</v>
      </c>
      <c r="B19" s="299"/>
      <c r="C19" s="299"/>
      <c r="D19" s="299"/>
      <c r="E19" s="299"/>
      <c r="F19" s="299"/>
      <c r="G19" s="300"/>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x14ac:dyDescent="0.25">
      <c r="A20" s="289">
        <v>5</v>
      </c>
      <c r="B20" s="296"/>
      <c r="C20" s="297"/>
      <c r="D20" s="168" t="s">
        <v>22</v>
      </c>
      <c r="E20" s="164" t="s">
        <v>23</v>
      </c>
      <c r="F20" s="291" t="s">
        <v>24</v>
      </c>
      <c r="G20" s="292"/>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x14ac:dyDescent="0.2">
      <c r="A21" s="289"/>
      <c r="B21" s="77" t="s">
        <v>25</v>
      </c>
      <c r="C21" s="82" t="str">
        <f>IF(C13="","",C13)</f>
        <v/>
      </c>
      <c r="D21" s="166">
        <v>150</v>
      </c>
      <c r="E21" s="167"/>
      <c r="F21" s="278"/>
      <c r="G21" s="279"/>
      <c r="H21" s="127"/>
      <c r="I21" s="8"/>
      <c r="J21" s="8"/>
      <c r="K21" s="8"/>
      <c r="L21" s="12">
        <f>IF(E16="x",1,0)</f>
        <v>0</v>
      </c>
      <c r="M21" s="10" t="e">
        <f>IF(OR(M16=1,M17=1,M20=1),1,0)</f>
        <v>#REF!</v>
      </c>
      <c r="N21" s="10" t="e">
        <f>IF(OR(N16=1,N17=1,N20=1),1,0)</f>
        <v>#REF!</v>
      </c>
      <c r="O21" s="8" t="e">
        <f>IF(OR(O17=1,O20=1),1,0)</f>
        <v>#REF!</v>
      </c>
    </row>
    <row r="22" spans="1:38" ht="24.6" customHeight="1" x14ac:dyDescent="0.2">
      <c r="A22" s="289"/>
      <c r="B22" s="25" t="s">
        <v>26</v>
      </c>
      <c r="C22" s="81"/>
      <c r="D22" s="32">
        <v>70</v>
      </c>
      <c r="E22" s="33"/>
      <c r="F22" s="278"/>
      <c r="G22" s="279"/>
      <c r="H22" s="126"/>
      <c r="I22" s="8">
        <f>IF(AND(L20=1,L21=0),1,0)</f>
        <v>0</v>
      </c>
      <c r="J22" s="8"/>
      <c r="K22" s="8"/>
      <c r="L22" s="10" t="b">
        <f>_xlfn.XOR(L20,L21)</f>
        <v>0</v>
      </c>
      <c r="M22" s="13" t="e">
        <f>IF(AND(L20=1,M21=1),1,0)</f>
        <v>#REF!</v>
      </c>
      <c r="N22" s="13" t="e">
        <f>IF(AND(L21=1,N21=1),1,0)</f>
        <v>#REF!</v>
      </c>
      <c r="O22" s="8"/>
    </row>
    <row r="23" spans="1:38" s="171" customFormat="1" ht="29.45" customHeight="1" x14ac:dyDescent="0.2">
      <c r="A23" s="289"/>
      <c r="B23" s="196" t="s">
        <v>27</v>
      </c>
      <c r="C23" s="197"/>
      <c r="D23" s="198">
        <v>50</v>
      </c>
      <c r="E23" s="206"/>
      <c r="F23" s="278"/>
      <c r="G23" s="279"/>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x14ac:dyDescent="0.2">
      <c r="A24" s="289"/>
      <c r="B24" s="77" t="s">
        <v>28</v>
      </c>
      <c r="C24" s="82" t="str">
        <f>IF(C13="","",C13)</f>
        <v/>
      </c>
      <c r="D24" s="32">
        <v>100</v>
      </c>
      <c r="E24" s="33"/>
      <c r="F24" s="278"/>
      <c r="G24" s="279"/>
      <c r="H24" s="128"/>
      <c r="I24" s="8">
        <f t="shared" ref="I24:I31" si="0">IF(E21="X",1,0)</f>
        <v>0</v>
      </c>
      <c r="J24" s="8">
        <f t="shared" ref="J24:J31" si="1">I24*D21</f>
        <v>0</v>
      </c>
      <c r="K24" s="75">
        <f>IF(OR(I23=1,I24=1,I25=1,I26=1,I27=1,I28=1,I29=1),1,0)</f>
        <v>0</v>
      </c>
      <c r="L24" s="10"/>
      <c r="M24" s="10"/>
      <c r="N24" s="10"/>
      <c r="O24" s="8"/>
    </row>
    <row r="25" spans="1:38" ht="30.75" customHeight="1" x14ac:dyDescent="0.2">
      <c r="A25" s="289"/>
      <c r="B25" s="25" t="s">
        <v>29</v>
      </c>
      <c r="C25" s="80"/>
      <c r="D25" s="32">
        <v>50</v>
      </c>
      <c r="E25" s="33"/>
      <c r="F25" s="278"/>
      <c r="G25" s="279"/>
      <c r="H25" s="5"/>
      <c r="I25" s="8">
        <f t="shared" si="0"/>
        <v>0</v>
      </c>
      <c r="J25" s="8">
        <f t="shared" si="1"/>
        <v>0</v>
      </c>
      <c r="K25" s="8"/>
      <c r="L25" s="10"/>
      <c r="M25" s="10"/>
      <c r="N25" s="10"/>
      <c r="O25" s="8"/>
    </row>
    <row r="26" spans="1:38" ht="32.1" customHeight="1" x14ac:dyDescent="0.2">
      <c r="A26" s="289"/>
      <c r="B26" s="78" t="s">
        <v>30</v>
      </c>
      <c r="C26" s="80"/>
      <c r="D26" s="32">
        <v>30</v>
      </c>
      <c r="E26" s="33"/>
      <c r="F26" s="278"/>
      <c r="G26" s="279"/>
      <c r="H26" s="129"/>
      <c r="I26" s="8">
        <f t="shared" si="0"/>
        <v>0</v>
      </c>
      <c r="J26" s="8">
        <f t="shared" si="1"/>
        <v>0</v>
      </c>
      <c r="K26" s="8"/>
      <c r="L26" s="15"/>
      <c r="M26" s="10" t="e">
        <f>IF(AND(L34=1,L37=1,L41=1),1,0)</f>
        <v>#REF!</v>
      </c>
      <c r="N26" s="10" t="e">
        <f>IF(AND(L34=1,L41=1),1,0)</f>
        <v>#REF!</v>
      </c>
      <c r="O26" s="14" t="e">
        <f>IF(OR(M26=1,N26=1),1,0)</f>
        <v>#REF!</v>
      </c>
    </row>
    <row r="27" spans="1:38" ht="42" customHeight="1" x14ac:dyDescent="0.2">
      <c r="A27" s="290"/>
      <c r="B27" s="79" t="s">
        <v>31</v>
      </c>
      <c r="C27" s="82" t="str">
        <f>IF(C13="","",C13)</f>
        <v/>
      </c>
      <c r="D27" s="32">
        <v>30</v>
      </c>
      <c r="E27" s="33"/>
      <c r="F27" s="278"/>
      <c r="G27" s="279"/>
      <c r="H27" s="130"/>
      <c r="I27" s="8">
        <f>IF(E24="X",1,0)</f>
        <v>0</v>
      </c>
      <c r="J27" s="8">
        <f t="shared" si="1"/>
        <v>0</v>
      </c>
      <c r="K27" s="8"/>
      <c r="L27" s="12">
        <f>IF(E21="x",1,0)</f>
        <v>0</v>
      </c>
      <c r="M27" s="12">
        <f>IF(OR(N27=1,N29=1,N30=1,N31=1),1,0)</f>
        <v>0</v>
      </c>
      <c r="N27" s="12"/>
      <c r="O27" s="14"/>
    </row>
    <row r="28" spans="1:38" ht="29.25" customHeight="1" x14ac:dyDescent="0.2">
      <c r="A28" s="100">
        <v>6</v>
      </c>
      <c r="B28" s="36" t="s">
        <v>32</v>
      </c>
      <c r="C28" s="82" t="str">
        <f>IF(C13="","",C13)</f>
        <v/>
      </c>
      <c r="D28" s="32">
        <v>100</v>
      </c>
      <c r="E28" s="33"/>
      <c r="F28" s="278"/>
      <c r="G28" s="279"/>
      <c r="H28" s="129"/>
      <c r="I28" s="8">
        <f t="shared" si="0"/>
        <v>0</v>
      </c>
      <c r="J28" s="8">
        <f t="shared" si="1"/>
        <v>0</v>
      </c>
      <c r="K28" s="8"/>
      <c r="L28" s="12"/>
      <c r="M28" s="12"/>
      <c r="N28" s="12"/>
      <c r="O28" s="14"/>
    </row>
    <row r="29" spans="1:38" ht="31.5" customHeight="1" x14ac:dyDescent="0.2">
      <c r="A29" s="49" t="s">
        <v>33</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x14ac:dyDescent="0.2">
      <c r="A30" s="101"/>
      <c r="B30" s="320" t="s">
        <v>34</v>
      </c>
      <c r="C30" s="321"/>
      <c r="D30" s="16" t="s">
        <v>35</v>
      </c>
      <c r="E30" s="33"/>
      <c r="F30" s="309"/>
      <c r="G30" s="310"/>
      <c r="H30" s="129"/>
      <c r="I30" s="8">
        <f t="shared" si="0"/>
        <v>0</v>
      </c>
      <c r="J30" s="8">
        <f t="shared" si="1"/>
        <v>0</v>
      </c>
      <c r="K30" s="8">
        <f>IF(AND(I30=1,I31=1),1,0)</f>
        <v>0</v>
      </c>
      <c r="L30" s="12">
        <f>IF(E24="x",1,0)</f>
        <v>0</v>
      </c>
      <c r="M30" s="13" t="e">
        <f>IF(AND(L21=1,M29=1),1,0)</f>
        <v>#REF!</v>
      </c>
      <c r="N30" s="12"/>
      <c r="O30" s="14"/>
    </row>
    <row r="31" spans="1:38" ht="42" customHeight="1" x14ac:dyDescent="0.2">
      <c r="A31" s="37">
        <v>7</v>
      </c>
      <c r="B31" s="25" t="s">
        <v>36</v>
      </c>
      <c r="C31" s="39" t="s">
        <v>37</v>
      </c>
      <c r="D31" s="16" t="s">
        <v>38</v>
      </c>
      <c r="E31" s="322"/>
      <c r="F31" s="311"/>
      <c r="G31" s="312"/>
      <c r="H31" s="129"/>
      <c r="I31" s="8">
        <f t="shared" si="0"/>
        <v>0</v>
      </c>
      <c r="J31" s="8">
        <f t="shared" si="1"/>
        <v>0</v>
      </c>
      <c r="K31" s="8">
        <f>IF(OR(K24=1,K30=1),1,0)</f>
        <v>0</v>
      </c>
      <c r="L31" s="12">
        <f>IF(E26="x",1,0)</f>
        <v>0</v>
      </c>
      <c r="M31" s="11" t="e">
        <f>IF(OR(M22=1,M30=1),1,0)</f>
        <v>#REF!</v>
      </c>
      <c r="N31" s="12"/>
      <c r="O31" s="8"/>
    </row>
    <row r="32" spans="1:38" ht="27.75" customHeight="1" thickBot="1" x14ac:dyDescent="0.25">
      <c r="A32" s="102">
        <v>8</v>
      </c>
      <c r="B32" s="38" t="s">
        <v>39</v>
      </c>
      <c r="C32" s="42"/>
      <c r="D32" s="40"/>
      <c r="E32" s="323"/>
      <c r="F32" s="311"/>
      <c r="G32" s="312"/>
      <c r="H32" s="131"/>
      <c r="I32" s="8"/>
      <c r="J32" s="8"/>
      <c r="K32" s="8"/>
      <c r="L32" s="12"/>
      <c r="M32" s="11"/>
      <c r="N32" s="12"/>
      <c r="O32" s="8"/>
    </row>
    <row r="33" spans="1:54" ht="39.75" customHeight="1" thickBot="1" x14ac:dyDescent="0.25">
      <c r="A33" s="103">
        <v>9</v>
      </c>
      <c r="B33" s="41" t="s">
        <v>40</v>
      </c>
      <c r="C33" s="165"/>
      <c r="D33" s="306" t="str">
        <f>IF(I22=0,"",IF(AND(I33=1,J33=1,H33=0),"CERTIFICADO VÁLIDO",IF(E30="","CANDIDATO SEM PROFICIÊNCIA EM INGLÊS",IF(J38&gt;5,"CERTIFICADO INVÁLIDO",IF(AND(J38&lt;=5,K33=1),"CERTIFICADO VÁLIDO")))))</f>
        <v/>
      </c>
      <c r="E33" s="307"/>
      <c r="F33" s="313"/>
      <c r="G33" s="314"/>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x14ac:dyDescent="0.25">
      <c r="A34" s="308"/>
      <c r="B34" s="315" t="s">
        <v>41</v>
      </c>
      <c r="C34" s="316"/>
      <c r="D34" s="317"/>
      <c r="E34" s="302" t="str">
        <f ca="1">IF(OR(I19&lt;&gt;1,I34=0,J35=0,K31=0,D33="CERTIFICADO INVÁLIDO",D33="CANDIDATO SEM PROFICIÊNCIA EM INGLÊS"),"PONTUAÇÃO INVÁLIDA",J36)</f>
        <v>PONTUAÇÃO INVÁLIDA</v>
      </c>
      <c r="F34" s="303"/>
      <c r="G34" s="304"/>
      <c r="H34" s="132"/>
      <c r="I34" s="58">
        <f>IF(AND(I33=0,J34=0,J16=1),0,1)</f>
        <v>1</v>
      </c>
      <c r="J34" s="14">
        <f>IF(J33=K33,0,1)</f>
        <v>0</v>
      </c>
      <c r="K34" s="59">
        <f ca="1">YEAR(E129)</f>
        <v>2025</v>
      </c>
      <c r="L34" s="12">
        <f>IF(E27="x",1,0)</f>
        <v>0</v>
      </c>
      <c r="M34" s="15" t="e">
        <f>IF(M33&gt;250,250,M33)</f>
        <v>#REF!</v>
      </c>
      <c r="N34" s="15" t="e">
        <f>IF(N33&gt;250,250,N33)</f>
        <v>#REF!</v>
      </c>
      <c r="O34" s="14"/>
    </row>
    <row r="35" spans="1:54" ht="44.25" customHeight="1" thickBot="1" x14ac:dyDescent="0.25">
      <c r="A35" s="308"/>
      <c r="B35" s="235" t="s">
        <v>42</v>
      </c>
      <c r="C35" s="318"/>
      <c r="D35" s="318"/>
      <c r="E35" s="318"/>
      <c r="F35" s="318"/>
      <c r="G35" s="319"/>
      <c r="H35" s="129"/>
      <c r="I35" s="8"/>
      <c r="J35" s="8">
        <f ca="1">IF(AND(K33=1,C33&lt;K35),0,1)</f>
        <v>1</v>
      </c>
      <c r="K35" s="57">
        <f ca="1">K34-5</f>
        <v>2020</v>
      </c>
      <c r="L35" s="10"/>
      <c r="M35" s="15"/>
      <c r="N35" s="10"/>
      <c r="O35" s="8"/>
    </row>
    <row r="36" spans="1:54" ht="214.5" customHeight="1" x14ac:dyDescent="0.2">
      <c r="A36" s="328" t="s">
        <v>43</v>
      </c>
      <c r="B36" s="329"/>
      <c r="C36" s="344" t="s">
        <v>44</v>
      </c>
      <c r="D36" s="74" t="s">
        <v>45</v>
      </c>
      <c r="E36" s="144" t="s">
        <v>46</v>
      </c>
      <c r="F36" s="326" t="s">
        <v>47</v>
      </c>
      <c r="G36" s="327"/>
      <c r="H36" s="129"/>
      <c r="I36" s="14"/>
      <c r="J36" s="14">
        <f>IF(SUM(J24:J31)&gt;350,350,SUM(J24:J31))</f>
        <v>0</v>
      </c>
      <c r="K36" s="14"/>
      <c r="L36" s="15"/>
      <c r="M36" s="15" t="e">
        <f>IF(M34&gt;250,250,M34)</f>
        <v>#REF!</v>
      </c>
      <c r="N36" s="15" t="e">
        <f>IF(N34&gt;250,250,N34)</f>
        <v>#REF!</v>
      </c>
      <c r="O36" s="14"/>
      <c r="Q36" s="6"/>
      <c r="R36" s="62"/>
    </row>
    <row r="37" spans="1:54" ht="215.25" customHeight="1" thickBot="1" x14ac:dyDescent="0.25">
      <c r="A37" s="330"/>
      <c r="B37" s="331"/>
      <c r="C37" s="345"/>
      <c r="D37" s="176"/>
      <c r="E37" s="120">
        <f ca="1">TODAY()</f>
        <v>45960</v>
      </c>
      <c r="F37" s="142" t="str">
        <f>J43</f>
        <v/>
      </c>
      <c r="G37" s="143" t="str">
        <f>K43</f>
        <v/>
      </c>
      <c r="H37" s="129"/>
      <c r="I37" s="14"/>
      <c r="J37" s="14"/>
      <c r="K37" s="14"/>
      <c r="L37" s="12">
        <f>IF(E30="x",1,0)</f>
        <v>0</v>
      </c>
      <c r="M37" s="15"/>
      <c r="N37" s="12"/>
      <c r="O37" s="14"/>
    </row>
    <row r="38" spans="1:54" ht="86.25" customHeight="1" thickBot="1" x14ac:dyDescent="0.3">
      <c r="A38" s="332"/>
      <c r="B38" s="333"/>
      <c r="C38" s="346" t="s">
        <v>48</v>
      </c>
      <c r="D38" s="347"/>
      <c r="E38" s="186" t="s">
        <v>49</v>
      </c>
      <c r="F38" s="241" t="s">
        <v>24</v>
      </c>
      <c r="G38" s="242"/>
      <c r="H38" s="129"/>
      <c r="I38" s="14">
        <f ca="1">IF(J38&lt;5,1,0)</f>
        <v>0</v>
      </c>
      <c r="J38" s="2">
        <f ca="1">YEARFRAC(C33,I41,1)</f>
        <v>125.83298928749919</v>
      </c>
      <c r="K38">
        <f ca="1">(J38-TRUNC(J38))*12</f>
        <v>9.9958714499902612</v>
      </c>
      <c r="L38" s="12"/>
      <c r="M38" s="15"/>
      <c r="N38" s="12"/>
      <c r="O38" s="14"/>
      <c r="S38" s="24" t="str">
        <f>F37</f>
        <v/>
      </c>
      <c r="U38" s="61" t="str">
        <f>G37</f>
        <v/>
      </c>
    </row>
    <row r="39" spans="1:54" ht="42" customHeight="1" x14ac:dyDescent="0.25">
      <c r="A39" s="177"/>
      <c r="B39" s="178"/>
      <c r="C39" s="179" t="s">
        <v>50</v>
      </c>
      <c r="D39" s="179" t="s">
        <v>51</v>
      </c>
      <c r="E39" s="183"/>
      <c r="F39" s="184"/>
      <c r="G39" s="185"/>
      <c r="H39" s="129"/>
      <c r="I39" s="14"/>
      <c r="K39"/>
      <c r="L39" s="12"/>
      <c r="M39" s="15"/>
      <c r="N39" s="12"/>
      <c r="O39" s="14"/>
    </row>
    <row r="40" spans="1:54" ht="54" customHeight="1" x14ac:dyDescent="0.2">
      <c r="A40" s="113">
        <v>10</v>
      </c>
      <c r="B40" s="182" t="s">
        <v>52</v>
      </c>
      <c r="C40" s="199"/>
      <c r="D40" s="200"/>
      <c r="E40" s="188">
        <f>W40*30</f>
        <v>0</v>
      </c>
      <c r="F40" s="324"/>
      <c r="G40" s="325"/>
      <c r="H40" s="133"/>
      <c r="I40" s="14"/>
      <c r="J40" s="2" t="str">
        <f>IF(C33="","",TRUNC(J38))</f>
        <v/>
      </c>
      <c r="K40" s="2" t="str">
        <f>IF(C33="","",TRUNC(K38))</f>
        <v/>
      </c>
      <c r="L40" s="12"/>
      <c r="M40" s="15"/>
      <c r="N40" s="12"/>
      <c r="O40" s="14"/>
      <c r="S40" s="24">
        <f>C40</f>
        <v>0</v>
      </c>
      <c r="U40" s="61">
        <f>D40</f>
        <v>0</v>
      </c>
      <c r="W40" s="61">
        <f>S40+U40/12</f>
        <v>0</v>
      </c>
    </row>
    <row r="41" spans="1:54" ht="62.25" customHeight="1" x14ac:dyDescent="0.25">
      <c r="A41" s="107">
        <v>11</v>
      </c>
      <c r="B41" s="180" t="s">
        <v>53</v>
      </c>
      <c r="C41" s="201"/>
      <c r="D41" s="202"/>
      <c r="E41" s="188">
        <f>W41*25</f>
        <v>0</v>
      </c>
      <c r="F41" s="324"/>
      <c r="G41" s="325"/>
      <c r="H41" s="128"/>
      <c r="I41" s="34">
        <f ca="1">TODAY()</f>
        <v>45960</v>
      </c>
      <c r="J41" s="2">
        <f ca="1">YEARFRAC(D37,E37,1)</f>
        <v>125.83298928749919</v>
      </c>
      <c r="K41">
        <f ca="1">(J41-TRUNC(J41))*12</f>
        <v>9.9958714499902612</v>
      </c>
      <c r="L41" s="12" t="e">
        <f>IF(#REF!="x",1,0)</f>
        <v>#REF!</v>
      </c>
      <c r="M41" s="18"/>
      <c r="N41" s="12"/>
      <c r="O41" s="17"/>
      <c r="S41" s="24">
        <f>C41</f>
        <v>0</v>
      </c>
      <c r="U41" s="61">
        <f>D41</f>
        <v>0</v>
      </c>
      <c r="W41" s="61">
        <f>S41+U41/12</f>
        <v>0</v>
      </c>
    </row>
    <row r="42" spans="1:54" ht="113.45" customHeight="1" x14ac:dyDescent="0.2">
      <c r="A42" s="107">
        <v>12</v>
      </c>
      <c r="B42" s="180" t="s">
        <v>54</v>
      </c>
      <c r="C42" s="201"/>
      <c r="D42" s="202"/>
      <c r="E42" s="188">
        <f>W42*20</f>
        <v>0</v>
      </c>
      <c r="F42" s="324"/>
      <c r="G42" s="325"/>
      <c r="H42" s="134"/>
      <c r="I42" s="2">
        <f ca="1">YEAR(I41)</f>
        <v>2025</v>
      </c>
      <c r="J42" s="119" t="str">
        <f ca="1">IF(AND(D37&lt;&gt;0,E37&lt;&gt;0),+E37-D37-1,"")</f>
        <v/>
      </c>
      <c r="L42" s="19"/>
      <c r="M42" s="20"/>
      <c r="N42" s="20"/>
      <c r="S42" s="24">
        <f>C42</f>
        <v>0</v>
      </c>
      <c r="U42" s="61">
        <f>D42</f>
        <v>0</v>
      </c>
      <c r="W42" s="61">
        <f>S42+U42/12</f>
        <v>0</v>
      </c>
    </row>
    <row r="43" spans="1:54" ht="81" customHeight="1" x14ac:dyDescent="0.2">
      <c r="A43" s="108">
        <v>13</v>
      </c>
      <c r="B43" s="181" t="s">
        <v>55</v>
      </c>
      <c r="C43" s="201"/>
      <c r="D43" s="202"/>
      <c r="E43" s="188">
        <f>W43*15</f>
        <v>0</v>
      </c>
      <c r="F43" s="324"/>
      <c r="G43" s="325"/>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x14ac:dyDescent="0.2">
      <c r="A44" s="108">
        <v>14</v>
      </c>
      <c r="B44" s="181" t="s">
        <v>56</v>
      </c>
      <c r="C44" s="201"/>
      <c r="D44" s="202"/>
      <c r="E44" s="188">
        <f>W44*10</f>
        <v>0</v>
      </c>
      <c r="F44" s="324"/>
      <c r="G44" s="325"/>
      <c r="H44" s="5"/>
      <c r="L44" s="21" t="e">
        <f ca="1">IF(AND(D37&gt;0,E37&gt;0,O21=1,L43=1,F37&gt;=3),1,0)</f>
        <v>#REF!</v>
      </c>
      <c r="M44" s="21"/>
      <c r="S44" s="24">
        <f t="shared" si="2"/>
        <v>0</v>
      </c>
      <c r="U44" s="61">
        <f t="shared" si="3"/>
        <v>0</v>
      </c>
      <c r="W44" s="61">
        <f t="shared" si="4"/>
        <v>0</v>
      </c>
    </row>
    <row r="45" spans="1:54" ht="58.5" customHeight="1" x14ac:dyDescent="0.2">
      <c r="A45" s="108">
        <v>15</v>
      </c>
      <c r="B45" s="181" t="s">
        <v>57</v>
      </c>
      <c r="C45" s="201"/>
      <c r="D45" s="202"/>
      <c r="E45" s="188">
        <f>W45*5</f>
        <v>0</v>
      </c>
      <c r="F45" s="324"/>
      <c r="G45" s="325"/>
      <c r="H45" s="136"/>
      <c r="L45" s="21" t="e">
        <f ca="1">IF(L44=1,(D40*16)+(D41*8)+(D42*5)+(D46*16)+(#REF!*8)+(#REF!*0.5))</f>
        <v>#REF!</v>
      </c>
      <c r="M45" s="21"/>
      <c r="S45" s="24">
        <f t="shared" si="2"/>
        <v>0</v>
      </c>
      <c r="U45" s="61">
        <f t="shared" si="3"/>
        <v>0</v>
      </c>
      <c r="W45" s="61">
        <f t="shared" si="4"/>
        <v>0</v>
      </c>
    </row>
    <row r="46" spans="1:54" ht="49.5" customHeight="1" thickBot="1" x14ac:dyDescent="0.25">
      <c r="A46" s="117">
        <v>16</v>
      </c>
      <c r="B46" s="181" t="s">
        <v>58</v>
      </c>
      <c r="C46" s="201"/>
      <c r="D46" s="202"/>
      <c r="E46" s="188">
        <f>W46*20</f>
        <v>0</v>
      </c>
      <c r="F46" s="324"/>
      <c r="G46" s="325"/>
      <c r="H46" s="137"/>
      <c r="L46" s="21"/>
      <c r="M46" s="21"/>
      <c r="S46" s="24">
        <f t="shared" si="2"/>
        <v>0</v>
      </c>
      <c r="U46" s="61">
        <f t="shared" si="3"/>
        <v>0</v>
      </c>
      <c r="W46" s="61">
        <f t="shared" si="4"/>
        <v>0</v>
      </c>
    </row>
    <row r="47" spans="1:54" s="22" customFormat="1" ht="52.5" customHeight="1" thickBot="1" x14ac:dyDescent="0.25">
      <c r="A47" s="261"/>
      <c r="B47" s="315" t="s">
        <v>41</v>
      </c>
      <c r="C47" s="316"/>
      <c r="D47" s="317"/>
      <c r="E47" s="340" t="str">
        <f>K48</f>
        <v>TEMPO DE EXPERIÊNCIA INSUFICIENTE</v>
      </c>
      <c r="F47" s="341"/>
      <c r="G47" s="342"/>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x14ac:dyDescent="0.25">
      <c r="A48" s="262"/>
      <c r="B48" s="343" t="s">
        <v>59</v>
      </c>
      <c r="C48" s="318"/>
      <c r="D48" s="318"/>
      <c r="E48" s="318"/>
      <c r="F48" s="318"/>
      <c r="G48" s="319"/>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x14ac:dyDescent="0.25">
      <c r="A49" s="338">
        <v>17</v>
      </c>
      <c r="B49" s="229" t="s">
        <v>60</v>
      </c>
      <c r="C49" s="71" t="s">
        <v>61</v>
      </c>
      <c r="D49" s="83" t="s">
        <v>62</v>
      </c>
      <c r="E49" s="55" t="s">
        <v>63</v>
      </c>
      <c r="F49" s="336" t="s">
        <v>24</v>
      </c>
      <c r="G49" s="337"/>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x14ac:dyDescent="0.25">
      <c r="A50" s="339"/>
      <c r="B50" s="260"/>
      <c r="C50" s="204" t="s">
        <v>64</v>
      </c>
      <c r="D50" s="84"/>
      <c r="E50" s="189">
        <f>IF(D50&gt;100,50,IF(D50&gt;=1,0.5*D50,0))</f>
        <v>0</v>
      </c>
      <c r="F50" s="334"/>
      <c r="G50" s="335"/>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x14ac:dyDescent="0.25">
      <c r="A51" s="109">
        <v>18</v>
      </c>
      <c r="B51" s="31" t="s">
        <v>65</v>
      </c>
      <c r="C51" s="203" t="s">
        <v>64</v>
      </c>
      <c r="D51" s="84"/>
      <c r="E51" s="189">
        <f>IF(D51&gt;100,50,IF(D51&gt;=1,0.5*D51,0))</f>
        <v>0</v>
      </c>
      <c r="F51" s="334"/>
      <c r="G51" s="335"/>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x14ac:dyDescent="0.25">
      <c r="A52" s="210" t="s">
        <v>66</v>
      </c>
      <c r="B52" s="348"/>
      <c r="C52" s="71" t="s">
        <v>61</v>
      </c>
      <c r="D52" s="72" t="s">
        <v>67</v>
      </c>
      <c r="E52" s="86" t="s">
        <v>63</v>
      </c>
      <c r="F52" s="212" t="s">
        <v>24</v>
      </c>
      <c r="G52" s="213"/>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x14ac:dyDescent="0.2">
      <c r="A53" s="305">
        <v>19</v>
      </c>
      <c r="B53" s="229" t="s">
        <v>68</v>
      </c>
      <c r="C53" s="87" t="s">
        <v>69</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x14ac:dyDescent="0.25">
      <c r="A54" s="259"/>
      <c r="B54" s="260"/>
      <c r="C54" s="30" t="s">
        <v>70</v>
      </c>
      <c r="D54" s="89"/>
      <c r="E54" s="190">
        <f>D54*10</f>
        <v>0</v>
      </c>
      <c r="F54" s="207"/>
      <c r="G54" s="208"/>
      <c r="H54" s="5"/>
    </row>
    <row r="55" spans="1:54" ht="38.25" customHeight="1" x14ac:dyDescent="0.2">
      <c r="A55" s="258">
        <v>20</v>
      </c>
      <c r="B55" s="229" t="s">
        <v>71</v>
      </c>
      <c r="C55" s="87" t="s">
        <v>72</v>
      </c>
      <c r="D55" s="89"/>
      <c r="E55" s="190">
        <f>D55*20</f>
        <v>0</v>
      </c>
      <c r="F55" s="207"/>
      <c r="G55" s="208"/>
      <c r="H55" s="139"/>
    </row>
    <row r="56" spans="1:54" ht="75" customHeight="1" x14ac:dyDescent="0.2">
      <c r="A56" s="259"/>
      <c r="B56" s="260"/>
      <c r="C56" s="30" t="s">
        <v>73</v>
      </c>
      <c r="D56" s="89"/>
      <c r="E56" s="190">
        <f>D56*5</f>
        <v>0</v>
      </c>
      <c r="F56" s="207"/>
      <c r="G56" s="208"/>
      <c r="H56" s="139"/>
      <c r="I56" s="8"/>
      <c r="J56" s="8"/>
      <c r="K56" s="8"/>
      <c r="L56" s="21"/>
      <c r="M56" s="8"/>
      <c r="N56" s="8"/>
      <c r="O56" s="8"/>
    </row>
    <row r="57" spans="1:54" ht="75" customHeight="1" x14ac:dyDescent="0.2">
      <c r="A57" s="338">
        <v>21</v>
      </c>
      <c r="B57" s="254" t="s">
        <v>74</v>
      </c>
      <c r="C57" s="77" t="s">
        <v>75</v>
      </c>
      <c r="D57" s="89"/>
      <c r="E57" s="190">
        <f>D57*10</f>
        <v>0</v>
      </c>
      <c r="F57" s="207"/>
      <c r="G57" s="208"/>
      <c r="H57" s="140"/>
      <c r="I57" s="5"/>
      <c r="J57" s="5"/>
      <c r="K57" s="5"/>
      <c r="M57" s="5"/>
      <c r="N57" s="5"/>
      <c r="O57" s="5"/>
    </row>
    <row r="58" spans="1:54" ht="57" customHeight="1" thickBot="1" x14ac:dyDescent="0.25">
      <c r="A58" s="339"/>
      <c r="B58" s="260"/>
      <c r="C58" s="77" t="s">
        <v>76</v>
      </c>
      <c r="D58" s="90"/>
      <c r="E58" s="190">
        <f>D58*5</f>
        <v>0</v>
      </c>
      <c r="F58" s="207"/>
      <c r="G58" s="208"/>
      <c r="H58" s="139"/>
      <c r="L58" s="8"/>
    </row>
    <row r="59" spans="1:54" ht="51.95" customHeight="1" x14ac:dyDescent="0.2">
      <c r="A59" s="349">
        <v>22</v>
      </c>
      <c r="B59" s="230" t="s">
        <v>77</v>
      </c>
      <c r="C59" s="30" t="s">
        <v>78</v>
      </c>
      <c r="D59" s="89"/>
      <c r="E59" s="190">
        <f>D59*5</f>
        <v>0</v>
      </c>
      <c r="F59" s="207"/>
      <c r="G59" s="208"/>
      <c r="H59" s="139"/>
      <c r="I59" s="8"/>
      <c r="J59" s="8"/>
      <c r="K59" s="8"/>
      <c r="L59" s="8"/>
      <c r="M59" s="8"/>
      <c r="N59" s="8"/>
      <c r="O59" s="8"/>
    </row>
    <row r="60" spans="1:54" ht="51.95" customHeight="1" x14ac:dyDescent="0.2">
      <c r="A60" s="264"/>
      <c r="B60" s="260"/>
      <c r="C60" s="77" t="s">
        <v>79</v>
      </c>
      <c r="D60" s="90"/>
      <c r="E60" s="190">
        <f>D60*2.5</f>
        <v>0</v>
      </c>
      <c r="F60" s="207"/>
      <c r="G60" s="208"/>
      <c r="H60" s="139"/>
      <c r="I60" s="8"/>
      <c r="J60" s="8"/>
      <c r="K60" s="8"/>
      <c r="L60" s="8"/>
      <c r="M60" s="8"/>
      <c r="N60" s="8"/>
      <c r="O60" s="8"/>
    </row>
    <row r="61" spans="1:54" ht="51.95" customHeight="1" x14ac:dyDescent="0.2">
      <c r="A61" s="101">
        <v>23</v>
      </c>
      <c r="B61" s="77" t="s">
        <v>80</v>
      </c>
      <c r="C61" s="77" t="s">
        <v>81</v>
      </c>
      <c r="D61" s="90"/>
      <c r="E61" s="190">
        <f>D61*2</f>
        <v>0</v>
      </c>
      <c r="F61" s="207"/>
      <c r="G61" s="208"/>
      <c r="H61" s="139"/>
      <c r="I61" s="8"/>
      <c r="J61" s="8"/>
      <c r="K61" s="8"/>
      <c r="L61" s="8"/>
      <c r="M61" s="8"/>
      <c r="N61" s="8"/>
      <c r="O61" s="8"/>
    </row>
    <row r="62" spans="1:54" ht="51.95" customHeight="1" x14ac:dyDescent="0.2">
      <c r="A62" s="263">
        <v>24</v>
      </c>
      <c r="B62" s="254" t="s">
        <v>82</v>
      </c>
      <c r="C62" s="77" t="s">
        <v>83</v>
      </c>
      <c r="D62" s="90"/>
      <c r="E62" s="190">
        <f>D62*2</f>
        <v>0</v>
      </c>
      <c r="F62" s="207"/>
      <c r="G62" s="208"/>
      <c r="H62" s="139"/>
      <c r="I62" s="8"/>
      <c r="J62" s="8"/>
      <c r="K62" s="8"/>
      <c r="L62" s="8"/>
      <c r="M62" s="8"/>
      <c r="N62" s="8"/>
      <c r="O62" s="8"/>
    </row>
    <row r="63" spans="1:54" ht="60" customHeight="1" thickBot="1" x14ac:dyDescent="0.25">
      <c r="A63" s="264"/>
      <c r="B63" s="231"/>
      <c r="C63" s="31" t="s">
        <v>84</v>
      </c>
      <c r="D63" s="91"/>
      <c r="E63" s="190">
        <f>D63</f>
        <v>0</v>
      </c>
      <c r="F63" s="207"/>
      <c r="G63" s="208"/>
      <c r="H63" s="139"/>
      <c r="I63" s="8"/>
      <c r="J63" s="8"/>
      <c r="K63" s="8"/>
      <c r="L63" s="8"/>
      <c r="M63" s="8"/>
      <c r="N63" s="8"/>
      <c r="O63" s="8"/>
    </row>
    <row r="64" spans="1:54" ht="79.5" customHeight="1" thickBot="1" x14ac:dyDescent="0.25">
      <c r="A64" s="210" t="s">
        <v>85</v>
      </c>
      <c r="B64" s="348"/>
      <c r="C64" s="71" t="s">
        <v>61</v>
      </c>
      <c r="D64" s="72" t="s">
        <v>86</v>
      </c>
      <c r="E64" s="191" t="s">
        <v>63</v>
      </c>
      <c r="F64" s="212" t="s">
        <v>24</v>
      </c>
      <c r="G64" s="213"/>
      <c r="H64" s="139"/>
      <c r="I64" s="8"/>
      <c r="J64" s="8"/>
      <c r="K64" s="8"/>
      <c r="L64" s="8"/>
      <c r="M64" s="8"/>
      <c r="N64" s="8"/>
      <c r="O64" s="8"/>
    </row>
    <row r="65" spans="1:38" ht="73.5" customHeight="1" x14ac:dyDescent="0.2">
      <c r="A65" s="101">
        <v>25</v>
      </c>
      <c r="B65" s="92" t="s">
        <v>87</v>
      </c>
      <c r="C65" s="87" t="s">
        <v>88</v>
      </c>
      <c r="D65" s="93"/>
      <c r="E65" s="190">
        <f>D65*5</f>
        <v>0</v>
      </c>
      <c r="F65" s="207"/>
      <c r="G65" s="208"/>
      <c r="H65" s="139"/>
      <c r="I65" s="8"/>
      <c r="J65" s="8"/>
      <c r="K65" s="8"/>
      <c r="L65" s="8"/>
      <c r="M65" s="8"/>
      <c r="N65" s="8"/>
      <c r="O65" s="8"/>
    </row>
    <row r="66" spans="1:38" ht="73.5" customHeight="1" x14ac:dyDescent="0.2">
      <c r="A66" s="118">
        <v>26</v>
      </c>
      <c r="B66" s="30" t="s">
        <v>89</v>
      </c>
      <c r="C66" s="30" t="s">
        <v>90</v>
      </c>
      <c r="D66" s="94"/>
      <c r="E66" s="190">
        <f>D66*2</f>
        <v>0</v>
      </c>
      <c r="F66" s="207"/>
      <c r="G66" s="208"/>
      <c r="H66" s="139"/>
      <c r="I66" s="8"/>
      <c r="J66" s="8"/>
      <c r="K66" s="8"/>
      <c r="L66" s="8"/>
      <c r="M66" s="8"/>
      <c r="N66" s="8"/>
      <c r="O66" s="8"/>
    </row>
    <row r="67" spans="1:38" ht="78" customHeight="1" thickBot="1" x14ac:dyDescent="0.25">
      <c r="A67" s="110">
        <v>27</v>
      </c>
      <c r="B67" s="30" t="s">
        <v>91</v>
      </c>
      <c r="C67" s="30" t="s">
        <v>92</v>
      </c>
      <c r="D67" s="94"/>
      <c r="E67" s="190">
        <f>D67*2</f>
        <v>0</v>
      </c>
      <c r="F67" s="207"/>
      <c r="G67" s="208"/>
      <c r="H67" s="139"/>
      <c r="I67" s="8"/>
      <c r="J67" s="8"/>
      <c r="K67" s="8"/>
      <c r="L67" s="8"/>
      <c r="M67" s="8"/>
      <c r="N67" s="8"/>
      <c r="O67" s="8"/>
    </row>
    <row r="68" spans="1:38" ht="45.95" hidden="1" customHeight="1" x14ac:dyDescent="0.2">
      <c r="A68" s="45">
        <v>26</v>
      </c>
      <c r="B68" s="30" t="s">
        <v>93</v>
      </c>
      <c r="C68" s="30" t="s">
        <v>94</v>
      </c>
      <c r="D68" s="94"/>
      <c r="E68" s="190">
        <f>D68*2</f>
        <v>0</v>
      </c>
      <c r="F68" s="207"/>
      <c r="G68" s="208"/>
      <c r="H68" s="5"/>
      <c r="I68" s="8"/>
      <c r="J68" s="8"/>
      <c r="K68" s="8"/>
      <c r="L68" s="5"/>
      <c r="M68" s="8"/>
      <c r="N68" s="8"/>
      <c r="O68" s="8"/>
    </row>
    <row r="69" spans="1:38" ht="27.95" hidden="1" customHeight="1" x14ac:dyDescent="0.2">
      <c r="A69" s="105">
        <v>27</v>
      </c>
      <c r="B69" s="30" t="s">
        <v>95</v>
      </c>
      <c r="C69" s="30" t="s">
        <v>96</v>
      </c>
      <c r="D69" s="94"/>
      <c r="E69" s="190">
        <f>D69</f>
        <v>0</v>
      </c>
      <c r="F69" s="207"/>
      <c r="G69" s="208"/>
      <c r="H69" s="139"/>
      <c r="I69" s="5"/>
      <c r="J69" s="5"/>
      <c r="K69" s="5"/>
      <c r="L69" s="8"/>
      <c r="M69" s="5"/>
      <c r="N69" s="5"/>
      <c r="O69" s="5"/>
    </row>
    <row r="70" spans="1:38" ht="27.95" customHeight="1" thickBot="1" x14ac:dyDescent="0.25">
      <c r="A70" s="104">
        <v>28</v>
      </c>
      <c r="B70" s="31" t="s">
        <v>97</v>
      </c>
      <c r="C70" s="31" t="s">
        <v>98</v>
      </c>
      <c r="D70" s="95"/>
      <c r="E70" s="190">
        <f>D70*0.5</f>
        <v>0</v>
      </c>
      <c r="F70" s="207"/>
      <c r="G70" s="208"/>
      <c r="H70" s="139"/>
      <c r="I70" s="5"/>
      <c r="J70" s="5"/>
      <c r="K70" s="5"/>
      <c r="L70" s="8"/>
      <c r="M70" s="5"/>
      <c r="N70" s="5"/>
      <c r="O70" s="5"/>
    </row>
    <row r="71" spans="1:38" ht="37.5" customHeight="1" thickBot="1" x14ac:dyDescent="0.25">
      <c r="A71" s="210" t="s">
        <v>99</v>
      </c>
      <c r="B71" s="211"/>
      <c r="C71" s="111" t="s">
        <v>61</v>
      </c>
      <c r="D71" s="72" t="s">
        <v>86</v>
      </c>
      <c r="E71" s="85" t="s">
        <v>63</v>
      </c>
      <c r="F71" s="212" t="s">
        <v>24</v>
      </c>
      <c r="G71" s="213"/>
      <c r="H71" s="5"/>
      <c r="I71" s="8"/>
      <c r="J71" s="8"/>
      <c r="K71" s="8"/>
      <c r="L71" s="5"/>
      <c r="M71" s="8"/>
      <c r="N71" s="8"/>
      <c r="O71" s="8"/>
    </row>
    <row r="72" spans="1:38" ht="42" customHeight="1" x14ac:dyDescent="0.2">
      <c r="A72" s="239">
        <v>29</v>
      </c>
      <c r="B72" s="230" t="s">
        <v>100</v>
      </c>
      <c r="C72" s="87" t="s">
        <v>101</v>
      </c>
      <c r="D72" s="93"/>
      <c r="E72" s="190">
        <f>D72*3.5</f>
        <v>0</v>
      </c>
      <c r="F72" s="207"/>
      <c r="G72" s="208"/>
      <c r="H72" s="139"/>
      <c r="I72" s="5"/>
      <c r="J72" s="5"/>
      <c r="K72" s="5"/>
      <c r="L72" s="8"/>
      <c r="M72" s="5"/>
      <c r="N72" s="5"/>
      <c r="O72" s="5"/>
    </row>
    <row r="73" spans="1:38" s="43" customFormat="1" ht="40.5" customHeight="1" x14ac:dyDescent="0.25">
      <c r="A73" s="239"/>
      <c r="B73" s="230"/>
      <c r="C73" s="30" t="s">
        <v>102</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x14ac:dyDescent="0.2">
      <c r="A74" s="240"/>
      <c r="B74" s="260"/>
      <c r="C74" s="30" t="s">
        <v>103</v>
      </c>
      <c r="D74" s="94"/>
      <c r="E74" s="192">
        <f>D74*2.5</f>
        <v>0</v>
      </c>
      <c r="F74" s="207"/>
      <c r="G74" s="208"/>
      <c r="H74" s="139"/>
      <c r="I74" s="8"/>
      <c r="J74" s="8"/>
      <c r="K74" s="8"/>
      <c r="L74" s="8"/>
      <c r="M74" s="8"/>
      <c r="N74" s="8"/>
      <c r="O74" s="8"/>
    </row>
    <row r="75" spans="1:38" ht="55.5" customHeight="1" x14ac:dyDescent="0.2">
      <c r="A75" s="246">
        <v>30</v>
      </c>
      <c r="B75" s="254" t="s">
        <v>104</v>
      </c>
      <c r="C75" s="30" t="s">
        <v>105</v>
      </c>
      <c r="D75" s="94"/>
      <c r="E75" s="192">
        <f>8*D75</f>
        <v>0</v>
      </c>
      <c r="F75" s="207"/>
      <c r="G75" s="208"/>
      <c r="H75" s="139"/>
      <c r="I75" s="8"/>
      <c r="J75" s="8"/>
      <c r="K75" s="8"/>
      <c r="L75" s="8"/>
      <c r="M75" s="8"/>
      <c r="N75" s="8"/>
      <c r="O75" s="8"/>
    </row>
    <row r="76" spans="1:38" ht="60.75" customHeight="1" x14ac:dyDescent="0.2">
      <c r="A76" s="247"/>
      <c r="B76" s="230"/>
      <c r="C76" s="30" t="s">
        <v>106</v>
      </c>
      <c r="D76" s="94"/>
      <c r="E76" s="192">
        <f>4*D76</f>
        <v>0</v>
      </c>
      <c r="F76" s="207"/>
      <c r="G76" s="208"/>
      <c r="H76" s="140"/>
      <c r="I76" s="8"/>
      <c r="J76" s="8"/>
      <c r="K76" s="8"/>
      <c r="L76" s="5"/>
      <c r="M76" s="8"/>
      <c r="N76" s="8"/>
      <c r="O76" s="8"/>
    </row>
    <row r="77" spans="1:38" ht="45.75" customHeight="1" x14ac:dyDescent="0.2">
      <c r="A77" s="247"/>
      <c r="B77" s="230"/>
      <c r="C77" s="30" t="s">
        <v>107</v>
      </c>
      <c r="D77" s="94"/>
      <c r="E77" s="192">
        <f>3*D77</f>
        <v>0</v>
      </c>
      <c r="F77" s="207"/>
      <c r="G77" s="208"/>
      <c r="H77" s="139"/>
      <c r="I77" s="5"/>
      <c r="J77" s="5"/>
      <c r="K77" s="5"/>
      <c r="L77" s="8"/>
      <c r="M77" s="5"/>
      <c r="N77" s="5"/>
      <c r="O77" s="5"/>
    </row>
    <row r="78" spans="1:38" ht="45.75" customHeight="1" x14ac:dyDescent="0.2">
      <c r="A78" s="247"/>
      <c r="B78" s="230"/>
      <c r="C78" s="30" t="s">
        <v>108</v>
      </c>
      <c r="D78" s="94"/>
      <c r="E78" s="192">
        <f>D78*2</f>
        <v>0</v>
      </c>
      <c r="F78" s="207"/>
      <c r="G78" s="208"/>
      <c r="H78" s="139"/>
      <c r="I78" s="5"/>
      <c r="J78" s="5"/>
      <c r="K78" s="5"/>
      <c r="L78" s="8"/>
      <c r="M78" s="5"/>
      <c r="N78" s="5"/>
      <c r="O78" s="5"/>
    </row>
    <row r="79" spans="1:38" ht="45.75" customHeight="1" x14ac:dyDescent="0.2">
      <c r="A79" s="247"/>
      <c r="B79" s="230"/>
      <c r="C79" s="30" t="s">
        <v>109</v>
      </c>
      <c r="D79" s="94"/>
      <c r="E79" s="192">
        <f>D79*1.5</f>
        <v>0</v>
      </c>
      <c r="F79" s="207"/>
      <c r="G79" s="208"/>
      <c r="H79" s="139"/>
      <c r="I79" s="5"/>
      <c r="J79" s="5"/>
      <c r="K79" s="5"/>
      <c r="L79" s="8"/>
      <c r="M79" s="5"/>
      <c r="N79" s="5"/>
      <c r="O79" s="5"/>
    </row>
    <row r="80" spans="1:38" ht="38.25" customHeight="1" x14ac:dyDescent="0.2">
      <c r="A80" s="248"/>
      <c r="B80" s="260"/>
      <c r="C80" s="30" t="s">
        <v>110</v>
      </c>
      <c r="D80" s="94"/>
      <c r="E80" s="192">
        <f>D80</f>
        <v>0</v>
      </c>
      <c r="F80" s="207"/>
      <c r="G80" s="208"/>
      <c r="H80" s="139"/>
      <c r="I80" s="8"/>
      <c r="J80" s="8"/>
      <c r="K80" s="8"/>
      <c r="L80" s="5"/>
      <c r="M80" s="8"/>
      <c r="N80" s="8"/>
      <c r="O80" s="8"/>
    </row>
    <row r="81" spans="1:38" ht="38.25" customHeight="1" x14ac:dyDescent="0.2">
      <c r="A81" s="255">
        <v>31</v>
      </c>
      <c r="B81" s="254" t="s">
        <v>111</v>
      </c>
      <c r="C81" s="30" t="s">
        <v>112</v>
      </c>
      <c r="D81" s="94"/>
      <c r="E81" s="192">
        <f>4*D81</f>
        <v>0</v>
      </c>
      <c r="F81" s="207"/>
      <c r="G81" s="208"/>
      <c r="H81" s="139"/>
      <c r="I81" s="8"/>
      <c r="J81" s="8"/>
      <c r="K81" s="8"/>
      <c r="L81" s="5"/>
      <c r="M81" s="8"/>
      <c r="N81" s="8"/>
      <c r="O81" s="8"/>
    </row>
    <row r="82" spans="1:38" ht="38.25" customHeight="1" x14ac:dyDescent="0.2">
      <c r="A82" s="256"/>
      <c r="B82" s="230"/>
      <c r="C82" s="30" t="s">
        <v>113</v>
      </c>
      <c r="D82" s="94"/>
      <c r="E82" s="192">
        <f>2*D82</f>
        <v>0</v>
      </c>
      <c r="F82" s="207"/>
      <c r="G82" s="208"/>
      <c r="H82" s="139"/>
      <c r="I82" s="8"/>
      <c r="J82" s="8"/>
      <c r="K82" s="8"/>
      <c r="L82" s="5"/>
      <c r="M82" s="8"/>
      <c r="N82" s="8"/>
      <c r="O82" s="8"/>
    </row>
    <row r="83" spans="1:38" ht="33" customHeight="1" x14ac:dyDescent="0.2">
      <c r="A83" s="256"/>
      <c r="B83" s="230"/>
      <c r="C83" s="30" t="s">
        <v>114</v>
      </c>
      <c r="D83" s="94"/>
      <c r="E83" s="192">
        <f>1.5*D83</f>
        <v>0</v>
      </c>
      <c r="F83" s="207"/>
      <c r="G83" s="208"/>
      <c r="H83" s="139"/>
      <c r="I83" s="5"/>
      <c r="J83" s="5"/>
      <c r="K83" s="5"/>
      <c r="L83" s="8"/>
      <c r="M83" s="5"/>
      <c r="N83" s="5"/>
      <c r="O83" s="5"/>
    </row>
    <row r="84" spans="1:38" ht="38.25" customHeight="1" x14ac:dyDescent="0.2">
      <c r="A84" s="256"/>
      <c r="B84" s="230"/>
      <c r="C84" s="30" t="s">
        <v>115</v>
      </c>
      <c r="D84" s="94"/>
      <c r="E84" s="192">
        <f>D84</f>
        <v>0</v>
      </c>
      <c r="F84" s="207"/>
      <c r="G84" s="208"/>
      <c r="H84" s="139"/>
      <c r="I84" s="5"/>
      <c r="J84" s="5"/>
      <c r="K84" s="5"/>
      <c r="L84" s="8"/>
      <c r="M84" s="5"/>
      <c r="N84" s="5"/>
      <c r="O84" s="5"/>
    </row>
    <row r="85" spans="1:38" s="43" customFormat="1" ht="46.5" customHeight="1" x14ac:dyDescent="0.25">
      <c r="A85" s="256"/>
      <c r="B85" s="230"/>
      <c r="C85" s="30" t="s">
        <v>116</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x14ac:dyDescent="0.25">
      <c r="A86" s="257"/>
      <c r="B86" s="231"/>
      <c r="C86" s="30" t="s">
        <v>117</v>
      </c>
      <c r="D86" s="94"/>
      <c r="E86" s="192">
        <f>D86*0.5</f>
        <v>0</v>
      </c>
      <c r="F86" s="207"/>
      <c r="G86" s="208"/>
      <c r="H86" s="139"/>
      <c r="I86" s="5"/>
      <c r="J86" s="5"/>
      <c r="K86" s="5"/>
      <c r="L86" s="8"/>
      <c r="M86" s="5"/>
      <c r="N86" s="5"/>
      <c r="O86" s="5"/>
    </row>
    <row r="87" spans="1:38" ht="54" customHeight="1" thickBot="1" x14ac:dyDescent="0.25">
      <c r="A87" s="210" t="s">
        <v>118</v>
      </c>
      <c r="B87" s="211"/>
      <c r="C87" s="111" t="s">
        <v>61</v>
      </c>
      <c r="D87" s="72" t="s">
        <v>86</v>
      </c>
      <c r="E87" s="85" t="s">
        <v>63</v>
      </c>
      <c r="F87" s="212" t="s">
        <v>24</v>
      </c>
      <c r="G87" s="213"/>
      <c r="H87" s="139"/>
      <c r="I87" s="5"/>
      <c r="J87" s="5"/>
      <c r="K87" s="5"/>
      <c r="L87" s="8"/>
      <c r="M87" s="5"/>
      <c r="N87" s="5"/>
      <c r="O87" s="5"/>
    </row>
    <row r="88" spans="1:38" ht="55.5" customHeight="1" x14ac:dyDescent="0.2">
      <c r="A88" s="118">
        <v>32</v>
      </c>
      <c r="B88" s="77" t="s">
        <v>119</v>
      </c>
      <c r="C88" s="30" t="s">
        <v>120</v>
      </c>
      <c r="D88" s="94"/>
      <c r="E88" s="192">
        <f>D88*5</f>
        <v>0</v>
      </c>
      <c r="F88" s="207"/>
      <c r="G88" s="208"/>
      <c r="H88" s="139"/>
      <c r="I88" s="8"/>
      <c r="J88" s="8"/>
      <c r="K88" s="8"/>
      <c r="L88" s="8"/>
      <c r="M88" s="8"/>
      <c r="N88" s="8"/>
      <c r="O88" s="8"/>
    </row>
    <row r="89" spans="1:38" ht="56.1" customHeight="1" x14ac:dyDescent="0.2">
      <c r="A89" s="112">
        <v>33</v>
      </c>
      <c r="B89" s="77" t="s">
        <v>121</v>
      </c>
      <c r="C89" s="30" t="s">
        <v>122</v>
      </c>
      <c r="D89" s="94"/>
      <c r="E89" s="192">
        <f>D89*2.5</f>
        <v>0</v>
      </c>
      <c r="F89" s="207"/>
      <c r="G89" s="208"/>
      <c r="H89" s="139"/>
      <c r="I89" s="8"/>
      <c r="J89" s="8"/>
      <c r="K89" s="8"/>
      <c r="L89" s="8"/>
      <c r="M89" s="8"/>
      <c r="N89" s="8"/>
      <c r="O89" s="8"/>
    </row>
    <row r="90" spans="1:38" ht="56.1" customHeight="1" x14ac:dyDescent="0.2">
      <c r="A90" s="106">
        <v>34</v>
      </c>
      <c r="B90" s="30" t="s">
        <v>123</v>
      </c>
      <c r="C90" s="30" t="s">
        <v>124</v>
      </c>
      <c r="D90" s="94"/>
      <c r="E90" s="192">
        <f>D90*7.5</f>
        <v>0</v>
      </c>
      <c r="F90" s="207"/>
      <c r="G90" s="208"/>
      <c r="H90" s="139"/>
      <c r="I90" s="8"/>
      <c r="J90" s="8"/>
      <c r="K90" s="8"/>
      <c r="L90" s="8"/>
      <c r="M90" s="8"/>
      <c r="N90" s="8"/>
      <c r="O90" s="8"/>
    </row>
    <row r="91" spans="1:38" ht="54.75" customHeight="1" x14ac:dyDescent="0.2">
      <c r="A91" s="101">
        <v>35</v>
      </c>
      <c r="B91" s="30" t="s">
        <v>125</v>
      </c>
      <c r="C91" s="30" t="s">
        <v>126</v>
      </c>
      <c r="D91" s="94"/>
      <c r="E91" s="192">
        <f>5*D91</f>
        <v>0</v>
      </c>
      <c r="F91" s="207"/>
      <c r="G91" s="208"/>
      <c r="H91" s="187"/>
      <c r="I91" s="8"/>
      <c r="J91" s="8"/>
      <c r="K91" s="8"/>
      <c r="L91" s="8"/>
      <c r="M91" s="8"/>
      <c r="N91" s="8"/>
      <c r="O91" s="8"/>
    </row>
    <row r="92" spans="1:38" ht="54.75" customHeight="1" thickBot="1" x14ac:dyDescent="0.25">
      <c r="A92" s="101">
        <v>36</v>
      </c>
      <c r="B92" s="30" t="s">
        <v>127</v>
      </c>
      <c r="C92" s="30" t="s">
        <v>122</v>
      </c>
      <c r="D92" s="94"/>
      <c r="E92" s="192">
        <f>D92*2.5</f>
        <v>0</v>
      </c>
      <c r="F92" s="207"/>
      <c r="G92" s="208"/>
      <c r="H92" s="139"/>
      <c r="I92" s="8"/>
      <c r="J92" s="8"/>
      <c r="K92" s="8"/>
      <c r="L92" s="8"/>
      <c r="M92" s="8"/>
      <c r="N92" s="8"/>
      <c r="O92" s="8"/>
    </row>
    <row r="93" spans="1:38" ht="44.25" customHeight="1" thickBot="1" x14ac:dyDescent="0.25">
      <c r="A93" s="210" t="s">
        <v>128</v>
      </c>
      <c r="B93" s="211"/>
      <c r="C93" s="111" t="s">
        <v>61</v>
      </c>
      <c r="D93" s="72" t="s">
        <v>86</v>
      </c>
      <c r="E93" s="85" t="s">
        <v>63</v>
      </c>
      <c r="F93" s="212" t="s">
        <v>24</v>
      </c>
      <c r="G93" s="213"/>
      <c r="H93" s="139"/>
      <c r="I93" s="8"/>
      <c r="J93" s="8"/>
      <c r="K93" s="8"/>
      <c r="L93" s="8"/>
      <c r="M93" s="8"/>
      <c r="N93" s="8"/>
      <c r="O93" s="8"/>
    </row>
    <row r="94" spans="1:38" ht="49.5" customHeight="1" x14ac:dyDescent="0.2">
      <c r="A94" s="239">
        <v>37</v>
      </c>
      <c r="B94" s="229" t="s">
        <v>129</v>
      </c>
      <c r="C94" s="77" t="s">
        <v>130</v>
      </c>
      <c r="D94" s="94"/>
      <c r="E94" s="192">
        <f>D94*2</f>
        <v>0</v>
      </c>
      <c r="F94" s="207"/>
      <c r="G94" s="208"/>
      <c r="H94" s="139"/>
      <c r="I94" s="8"/>
      <c r="J94" s="8"/>
      <c r="K94" s="8"/>
      <c r="L94" s="8"/>
      <c r="M94" s="8"/>
      <c r="N94" s="8"/>
      <c r="O94" s="8"/>
    </row>
    <row r="95" spans="1:38" ht="69" customHeight="1" x14ac:dyDescent="0.2">
      <c r="A95" s="239"/>
      <c r="B95" s="230"/>
      <c r="C95" s="77" t="s">
        <v>131</v>
      </c>
      <c r="D95" s="94"/>
      <c r="E95" s="192">
        <f>1.5*D95</f>
        <v>0</v>
      </c>
      <c r="F95" s="207"/>
      <c r="G95" s="208"/>
      <c r="H95" s="139"/>
      <c r="I95" s="8"/>
      <c r="J95" s="8"/>
      <c r="K95" s="8"/>
      <c r="L95" s="8"/>
      <c r="M95" s="8"/>
      <c r="N95" s="8"/>
      <c r="O95" s="8"/>
    </row>
    <row r="96" spans="1:38" ht="50.25" customHeight="1" thickBot="1" x14ac:dyDescent="0.25">
      <c r="A96" s="240"/>
      <c r="B96" s="231"/>
      <c r="C96" s="77" t="s">
        <v>132</v>
      </c>
      <c r="D96" s="94"/>
      <c r="E96" s="192">
        <f>D96</f>
        <v>0</v>
      </c>
      <c r="F96" s="207"/>
      <c r="G96" s="208"/>
      <c r="H96" s="139"/>
      <c r="I96" s="8"/>
      <c r="J96" s="8"/>
      <c r="K96" s="8"/>
      <c r="L96" s="8"/>
      <c r="M96" s="8"/>
      <c r="N96" s="8"/>
      <c r="O96" s="8"/>
    </row>
    <row r="97" spans="1:15" ht="49.5" customHeight="1" thickBot="1" x14ac:dyDescent="0.25">
      <c r="A97" s="210" t="s">
        <v>133</v>
      </c>
      <c r="B97" s="211"/>
      <c r="C97" s="111" t="s">
        <v>61</v>
      </c>
      <c r="D97" s="72" t="s">
        <v>86</v>
      </c>
      <c r="E97" s="85" t="s">
        <v>63</v>
      </c>
      <c r="F97" s="212" t="s">
        <v>24</v>
      </c>
      <c r="G97" s="213"/>
      <c r="H97" s="139"/>
      <c r="I97" s="8"/>
      <c r="J97" s="8"/>
      <c r="K97" s="8"/>
      <c r="L97" s="8"/>
      <c r="M97" s="8"/>
      <c r="N97" s="8"/>
      <c r="O97" s="8"/>
    </row>
    <row r="98" spans="1:15" ht="36" customHeight="1" thickBot="1" x14ac:dyDescent="0.25">
      <c r="A98" s="104">
        <v>38</v>
      </c>
      <c r="B98" s="31" t="s">
        <v>134</v>
      </c>
      <c r="C98" s="96" t="s">
        <v>135</v>
      </c>
      <c r="D98" s="95"/>
      <c r="E98" s="193">
        <f>D98*50</f>
        <v>0</v>
      </c>
      <c r="F98" s="207"/>
      <c r="G98" s="208"/>
      <c r="H98" s="139"/>
      <c r="I98" s="8"/>
      <c r="J98" s="8"/>
      <c r="K98" s="8"/>
      <c r="L98" s="8"/>
      <c r="M98" s="8"/>
      <c r="N98" s="8"/>
      <c r="O98" s="8"/>
    </row>
    <row r="99" spans="1:15" ht="70.5" customHeight="1" thickBot="1" x14ac:dyDescent="0.25">
      <c r="A99" s="210" t="s">
        <v>136</v>
      </c>
      <c r="B99" s="211"/>
      <c r="C99" s="111" t="s">
        <v>61</v>
      </c>
      <c r="D99" s="73" t="s">
        <v>86</v>
      </c>
      <c r="E99" s="145" t="s">
        <v>63</v>
      </c>
      <c r="F99" s="228" t="s">
        <v>24</v>
      </c>
      <c r="G99" s="213"/>
      <c r="H99" s="139"/>
      <c r="I99" s="8"/>
      <c r="J99" s="8"/>
      <c r="K99" s="8"/>
      <c r="L99" s="8"/>
      <c r="M99" s="8"/>
      <c r="N99" s="8"/>
      <c r="O99" s="8"/>
    </row>
    <row r="100" spans="1:15" ht="91.5" customHeight="1" x14ac:dyDescent="0.2">
      <c r="A100" s="112">
        <v>39</v>
      </c>
      <c r="B100" s="97" t="s">
        <v>137</v>
      </c>
      <c r="C100" s="98" t="s">
        <v>138</v>
      </c>
      <c r="D100" s="93"/>
      <c r="E100" s="190">
        <f>D100*40</f>
        <v>0</v>
      </c>
      <c r="F100" s="207"/>
      <c r="G100" s="208"/>
      <c r="H100" s="139"/>
      <c r="I100" s="8"/>
      <c r="J100" s="8"/>
      <c r="K100" s="8"/>
      <c r="L100" s="8"/>
      <c r="M100" s="8"/>
      <c r="N100" s="8"/>
      <c r="O100" s="8"/>
    </row>
    <row r="101" spans="1:15" ht="81" customHeight="1" x14ac:dyDescent="0.2">
      <c r="A101" s="101">
        <v>40</v>
      </c>
      <c r="B101" s="97" t="s">
        <v>139</v>
      </c>
      <c r="C101" s="98" t="s">
        <v>140</v>
      </c>
      <c r="D101" s="93"/>
      <c r="E101" s="190">
        <f>D101*10</f>
        <v>0</v>
      </c>
      <c r="F101" s="207"/>
      <c r="G101" s="208"/>
      <c r="H101" s="139"/>
      <c r="I101" s="8"/>
      <c r="J101" s="8"/>
      <c r="K101" s="8"/>
      <c r="L101" s="8"/>
      <c r="M101" s="8"/>
      <c r="N101" s="8"/>
      <c r="O101" s="8"/>
    </row>
    <row r="102" spans="1:15" ht="78.75" customHeight="1" x14ac:dyDescent="0.2">
      <c r="A102" s="101">
        <v>41</v>
      </c>
      <c r="B102" s="97" t="s">
        <v>141</v>
      </c>
      <c r="C102" s="98" t="s">
        <v>142</v>
      </c>
      <c r="D102" s="93"/>
      <c r="E102" s="190">
        <f>D102*30</f>
        <v>0</v>
      </c>
      <c r="F102" s="207"/>
      <c r="G102" s="208"/>
      <c r="H102" s="140"/>
      <c r="I102" s="8"/>
      <c r="J102" s="8"/>
      <c r="K102" s="8"/>
      <c r="L102" s="5"/>
      <c r="M102" s="8"/>
      <c r="N102" s="8"/>
      <c r="O102" s="8"/>
    </row>
    <row r="103" spans="1:15" ht="60" customHeight="1" x14ac:dyDescent="0.2">
      <c r="A103" s="101">
        <v>42</v>
      </c>
      <c r="B103" s="97" t="s">
        <v>143</v>
      </c>
      <c r="C103" s="97" t="s">
        <v>144</v>
      </c>
      <c r="D103" s="93"/>
      <c r="E103" s="190">
        <f>D103</f>
        <v>0</v>
      </c>
      <c r="F103" s="207"/>
      <c r="G103" s="208"/>
      <c r="H103" s="139"/>
      <c r="I103" s="5"/>
      <c r="J103" s="5"/>
      <c r="K103" s="5"/>
      <c r="L103" s="8"/>
      <c r="M103" s="5"/>
      <c r="N103" s="5"/>
      <c r="O103" s="5"/>
    </row>
    <row r="104" spans="1:15" ht="62.25" customHeight="1" x14ac:dyDescent="0.2">
      <c r="A104" s="101">
        <v>43</v>
      </c>
      <c r="B104" s="97" t="s">
        <v>145</v>
      </c>
      <c r="C104" s="97" t="s">
        <v>146</v>
      </c>
      <c r="D104" s="93"/>
      <c r="E104" s="190">
        <f>D104*2</f>
        <v>0</v>
      </c>
      <c r="F104" s="207"/>
      <c r="G104" s="208"/>
      <c r="H104" s="139"/>
      <c r="I104" s="5"/>
      <c r="J104" s="5"/>
      <c r="K104" s="5"/>
      <c r="L104" s="8"/>
      <c r="M104" s="5"/>
      <c r="N104" s="5"/>
      <c r="O104" s="5"/>
    </row>
    <row r="105" spans="1:15" ht="66.75" customHeight="1" x14ac:dyDescent="0.2">
      <c r="A105" s="101">
        <v>44</v>
      </c>
      <c r="B105" s="97" t="s">
        <v>147</v>
      </c>
      <c r="C105" s="98" t="s">
        <v>148</v>
      </c>
      <c r="D105" s="93"/>
      <c r="E105" s="190">
        <f>D105*5</f>
        <v>0</v>
      </c>
      <c r="F105" s="207"/>
      <c r="G105" s="208"/>
      <c r="H105" s="139"/>
      <c r="I105" s="5"/>
      <c r="J105" s="5"/>
      <c r="K105" s="5"/>
      <c r="L105" s="8"/>
      <c r="M105" s="5"/>
      <c r="N105" s="5"/>
      <c r="O105" s="5"/>
    </row>
    <row r="106" spans="1:15" ht="71.25" customHeight="1" x14ac:dyDescent="0.2">
      <c r="A106" s="101">
        <v>45</v>
      </c>
      <c r="B106" s="77" t="s">
        <v>149</v>
      </c>
      <c r="C106" s="77" t="s">
        <v>150</v>
      </c>
      <c r="D106" s="94"/>
      <c r="E106" s="192">
        <f>D106*5</f>
        <v>0</v>
      </c>
      <c r="F106" s="207"/>
      <c r="G106" s="208"/>
      <c r="H106" s="139"/>
      <c r="I106" s="5"/>
      <c r="J106" s="5"/>
      <c r="K106" s="5"/>
      <c r="L106" s="8"/>
      <c r="M106" s="5"/>
      <c r="N106" s="5"/>
      <c r="O106" s="5"/>
    </row>
    <row r="107" spans="1:15" ht="50.25" customHeight="1" thickBot="1" x14ac:dyDescent="0.25">
      <c r="A107" s="104">
        <v>46</v>
      </c>
      <c r="B107" s="77" t="s">
        <v>151</v>
      </c>
      <c r="C107" s="77" t="s">
        <v>152</v>
      </c>
      <c r="D107" s="94"/>
      <c r="E107" s="192">
        <f>D107*5</f>
        <v>0</v>
      </c>
      <c r="F107" s="207"/>
      <c r="G107" s="208"/>
      <c r="H107" s="139"/>
      <c r="I107" s="5"/>
      <c r="J107" s="5"/>
      <c r="K107" s="5"/>
      <c r="L107" s="8"/>
      <c r="M107" s="5"/>
      <c r="N107" s="5"/>
      <c r="O107" s="5"/>
    </row>
    <row r="108" spans="1:15" ht="65.25" customHeight="1" thickBot="1" x14ac:dyDescent="0.25">
      <c r="A108" s="45">
        <v>47</v>
      </c>
      <c r="B108" s="77" t="s">
        <v>153</v>
      </c>
      <c r="C108" s="77" t="s">
        <v>154</v>
      </c>
      <c r="D108" s="94"/>
      <c r="E108" s="192">
        <f>D108*5</f>
        <v>0</v>
      </c>
      <c r="F108" s="207"/>
      <c r="G108" s="208"/>
      <c r="H108" s="139"/>
      <c r="I108" s="5"/>
      <c r="J108" s="5"/>
      <c r="K108" s="5"/>
      <c r="L108" s="8"/>
      <c r="M108" s="5"/>
      <c r="N108" s="5"/>
      <c r="O108" s="5"/>
    </row>
    <row r="109" spans="1:15" ht="50.25" customHeight="1" x14ac:dyDescent="0.2">
      <c r="A109" s="105">
        <v>48</v>
      </c>
      <c r="B109" s="77" t="s">
        <v>155</v>
      </c>
      <c r="C109" s="77" t="s">
        <v>156</v>
      </c>
      <c r="D109" s="94"/>
      <c r="E109" s="192">
        <f>D109*5</f>
        <v>0</v>
      </c>
      <c r="F109" s="207"/>
      <c r="G109" s="208"/>
      <c r="H109" s="139"/>
      <c r="I109" s="8"/>
      <c r="J109" s="8"/>
      <c r="K109" s="8"/>
      <c r="L109" s="5"/>
      <c r="M109" s="8"/>
      <c r="N109" s="8"/>
      <c r="O109" s="8"/>
    </row>
    <row r="110" spans="1:15" ht="45" customHeight="1" thickBot="1" x14ac:dyDescent="0.25">
      <c r="A110" s="104">
        <v>49</v>
      </c>
      <c r="B110" s="96" t="s">
        <v>157</v>
      </c>
      <c r="C110" s="96" t="s">
        <v>158</v>
      </c>
      <c r="D110" s="95"/>
      <c r="E110" s="193">
        <f>D110*2.5</f>
        <v>0</v>
      </c>
      <c r="F110" s="207"/>
      <c r="G110" s="208"/>
      <c r="H110" s="139"/>
      <c r="I110" s="5"/>
      <c r="J110" s="5"/>
      <c r="K110" s="5"/>
      <c r="L110" s="8"/>
      <c r="M110" s="5"/>
      <c r="N110" s="5"/>
      <c r="O110" s="5"/>
    </row>
    <row r="111" spans="1:15" ht="45.75" customHeight="1" thickBot="1" x14ac:dyDescent="0.25">
      <c r="A111" s="214" t="s">
        <v>41</v>
      </c>
      <c r="B111" s="215"/>
      <c r="C111" s="215"/>
      <c r="D111" s="216"/>
      <c r="E111" s="232">
        <f>IF(SUM(E49:E110)&gt;250, 250,SUM(E49:E110))</f>
        <v>0</v>
      </c>
      <c r="F111" s="233"/>
      <c r="G111" s="234"/>
      <c r="H111" s="139"/>
      <c r="I111" s="8"/>
      <c r="J111" s="8"/>
      <c r="K111" s="8"/>
      <c r="L111" s="8"/>
      <c r="M111" s="8"/>
      <c r="N111" s="8"/>
      <c r="O111" s="8"/>
    </row>
    <row r="112" spans="1:15" ht="52.5" customHeight="1" x14ac:dyDescent="0.2">
      <c r="A112" s="235" t="s">
        <v>159</v>
      </c>
      <c r="B112" s="236"/>
      <c r="C112" s="236"/>
      <c r="D112" s="236"/>
      <c r="E112" s="236"/>
      <c r="F112" s="236"/>
      <c r="G112" s="236"/>
      <c r="H112" s="139"/>
      <c r="I112" s="8"/>
      <c r="J112" s="8"/>
      <c r="K112" s="8"/>
      <c r="L112" s="8"/>
      <c r="M112" s="8"/>
      <c r="N112" s="8"/>
      <c r="O112" s="8"/>
    </row>
    <row r="113" spans="1:38" ht="66" customHeight="1" thickBot="1" x14ac:dyDescent="0.25">
      <c r="A113" s="237"/>
      <c r="B113" s="238"/>
      <c r="C113" s="238"/>
      <c r="D113" s="238"/>
      <c r="E113" s="238"/>
      <c r="F113" s="238"/>
      <c r="G113" s="238"/>
      <c r="H113" s="139"/>
      <c r="I113" s="8"/>
      <c r="J113" s="8"/>
      <c r="K113" s="8"/>
      <c r="L113" s="8"/>
      <c r="M113" s="8"/>
      <c r="N113" s="8"/>
      <c r="O113" s="8"/>
    </row>
    <row r="114" spans="1:38" s="148" customFormat="1" ht="39.950000000000003" customHeight="1" x14ac:dyDescent="0.2">
      <c r="A114" s="163">
        <v>50</v>
      </c>
      <c r="B114" s="30" t="s">
        <v>160</v>
      </c>
      <c r="C114" s="30" t="s">
        <v>161</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39.950000000000003" customHeight="1" x14ac:dyDescent="0.2">
      <c r="A115" s="163">
        <v>51</v>
      </c>
      <c r="B115" s="195" t="s">
        <v>162</v>
      </c>
      <c r="C115" s="30" t="s">
        <v>161</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45" customHeight="1" x14ac:dyDescent="0.2">
      <c r="A116" s="163">
        <v>52</v>
      </c>
      <c r="B116" s="30" t="s">
        <v>163</v>
      </c>
      <c r="C116" s="30" t="s">
        <v>161</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x14ac:dyDescent="0.2">
      <c r="A117" s="163">
        <v>53</v>
      </c>
      <c r="B117" s="77" t="s">
        <v>164</v>
      </c>
      <c r="C117" s="30" t="s">
        <v>165</v>
      </c>
      <c r="D117" s="150"/>
      <c r="E117" s="194">
        <f t="shared" ref="E117:E119" si="6">D117*10</f>
        <v>0</v>
      </c>
      <c r="F117" s="207"/>
      <c r="G117" s="208"/>
      <c r="H117" s="141"/>
      <c r="I117" s="27"/>
      <c r="J117" s="27"/>
      <c r="K117" s="27"/>
      <c r="L117" s="27"/>
      <c r="M117" s="27"/>
      <c r="N117" s="27"/>
      <c r="O117" s="27"/>
    </row>
    <row r="118" spans="1:38" ht="42" customHeight="1" x14ac:dyDescent="0.2">
      <c r="A118" s="163">
        <v>54</v>
      </c>
      <c r="B118" s="31" t="s">
        <v>166</v>
      </c>
      <c r="C118" s="30" t="s">
        <v>165</v>
      </c>
      <c r="D118" s="151"/>
      <c r="E118" s="194">
        <f t="shared" si="6"/>
        <v>0</v>
      </c>
      <c r="F118" s="207"/>
      <c r="G118" s="208"/>
      <c r="H118" s="2"/>
      <c r="I118" s="26"/>
      <c r="J118" s="26"/>
      <c r="K118" s="26"/>
      <c r="L118" s="26"/>
      <c r="M118" s="26"/>
      <c r="N118" s="26"/>
      <c r="O118" s="26"/>
    </row>
    <row r="119" spans="1:38" ht="44.25" customHeight="1" x14ac:dyDescent="0.2">
      <c r="A119" s="163">
        <v>55</v>
      </c>
      <c r="B119" s="30" t="s">
        <v>167</v>
      </c>
      <c r="C119" s="30" t="s">
        <v>168</v>
      </c>
      <c r="D119" s="150"/>
      <c r="E119" s="194">
        <f t="shared" si="6"/>
        <v>0</v>
      </c>
      <c r="F119" s="207"/>
      <c r="G119" s="208"/>
      <c r="I119" s="26"/>
      <c r="J119" s="26"/>
      <c r="K119" s="26"/>
      <c r="L119" s="26"/>
      <c r="M119" s="26"/>
      <c r="N119" s="26"/>
      <c r="O119" s="26"/>
    </row>
    <row r="120" spans="1:38" ht="54.75" customHeight="1" x14ac:dyDescent="0.2">
      <c r="A120" s="163">
        <v>56</v>
      </c>
      <c r="B120" s="30" t="s">
        <v>169</v>
      </c>
      <c r="C120" s="30" t="s">
        <v>170</v>
      </c>
      <c r="D120" s="150"/>
      <c r="E120" s="194">
        <f>D120*5</f>
        <v>0</v>
      </c>
      <c r="F120" s="207"/>
      <c r="G120" s="208"/>
    </row>
    <row r="121" spans="1:38" ht="54.75" customHeight="1" x14ac:dyDescent="0.2">
      <c r="A121" s="163">
        <v>57</v>
      </c>
      <c r="B121" s="30" t="s">
        <v>171</v>
      </c>
      <c r="C121" s="30" t="s">
        <v>172</v>
      </c>
      <c r="D121" s="150"/>
      <c r="E121" s="194">
        <f>D121*5</f>
        <v>0</v>
      </c>
      <c r="F121" s="207"/>
      <c r="G121" s="208"/>
    </row>
    <row r="122" spans="1:38" ht="38.25" customHeight="1" x14ac:dyDescent="0.2">
      <c r="A122" s="163">
        <v>58</v>
      </c>
      <c r="B122" s="30" t="s">
        <v>173</v>
      </c>
      <c r="C122" s="30" t="s">
        <v>174</v>
      </c>
      <c r="D122" s="150"/>
      <c r="E122" s="194">
        <f>D122*0.5</f>
        <v>0</v>
      </c>
      <c r="F122" s="207"/>
      <c r="G122" s="208"/>
    </row>
    <row r="123" spans="1:38" ht="38.25" customHeight="1" x14ac:dyDescent="0.2">
      <c r="A123" s="161"/>
      <c r="B123" s="153"/>
      <c r="C123" s="162"/>
      <c r="D123" s="153"/>
      <c r="E123" s="153"/>
      <c r="F123" s="153"/>
      <c r="G123" s="154"/>
      <c r="H123" s="2"/>
    </row>
    <row r="124" spans="1:38" ht="38.25" customHeight="1" thickBot="1" x14ac:dyDescent="0.25">
      <c r="A124" s="161"/>
      <c r="B124" s="153"/>
      <c r="C124" s="162"/>
      <c r="D124" s="153"/>
      <c r="E124" s="153"/>
      <c r="F124" s="153"/>
      <c r="G124" s="154"/>
      <c r="H124" s="2"/>
    </row>
    <row r="125" spans="1:38" ht="41.25" customHeight="1" thickBot="1" x14ac:dyDescent="0.25">
      <c r="A125" s="214" t="s">
        <v>41</v>
      </c>
      <c r="B125" s="215"/>
      <c r="C125" s="215"/>
      <c r="D125" s="216"/>
      <c r="E125" s="232">
        <f>IF(SUM(E114:E122)&gt;50,50,SUM(E114:E122))</f>
        <v>0</v>
      </c>
      <c r="F125" s="233"/>
      <c r="G125" s="234"/>
    </row>
    <row r="126" spans="1:38" ht="38.25" customHeight="1" thickBot="1" x14ac:dyDescent="0.25">
      <c r="A126" s="152"/>
      <c r="B126" s="153"/>
      <c r="C126" s="153"/>
      <c r="D126" s="153"/>
      <c r="E126" s="153"/>
      <c r="F126" s="153"/>
      <c r="G126" s="154"/>
    </row>
    <row r="127" spans="1:38" ht="45.6" customHeight="1" thickBot="1" x14ac:dyDescent="0.25">
      <c r="A127" s="214" t="s">
        <v>175</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176</v>
      </c>
      <c r="B128" s="226"/>
      <c r="C128" s="220"/>
      <c r="D128" s="220"/>
      <c r="E128" s="220"/>
      <c r="F128" s="220"/>
      <c r="G128" s="221"/>
    </row>
    <row r="129" spans="1:7" ht="25.5" customHeight="1" x14ac:dyDescent="0.2">
      <c r="A129" s="227"/>
      <c r="B129" s="227"/>
      <c r="C129" s="209"/>
      <c r="D129" s="209"/>
      <c r="E129" s="222">
        <f ca="1">NOW()</f>
        <v>45960.649222453707</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177</v>
      </c>
      <c r="F134" s="209"/>
      <c r="G134" s="223"/>
    </row>
    <row r="135" spans="1:7" ht="15" thickBot="1" x14ac:dyDescent="0.25">
      <c r="A135" s="159"/>
      <c r="B135" s="160"/>
      <c r="C135" s="225"/>
      <c r="D135" s="225"/>
      <c r="E135" s="157"/>
      <c r="F135" s="158"/>
      <c r="G135" s="224"/>
    </row>
    <row r="136" spans="1:7" ht="14.25" x14ac:dyDescent="0.2">
      <c r="A136" s="62"/>
      <c r="C136" s="155"/>
      <c r="D136" s="155"/>
      <c r="E136" s="155"/>
      <c r="F136" s="155"/>
      <c r="G136" s="156"/>
    </row>
    <row r="137" spans="1:7" x14ac:dyDescent="0.2">
      <c r="A137" s="62"/>
    </row>
    <row r="138" spans="1:7" x14ac:dyDescent="0.2">
      <c r="A138" s="62"/>
    </row>
    <row r="139" spans="1:7" x14ac:dyDescent="0.2">
      <c r="A139" s="62"/>
    </row>
  </sheetData>
  <sheetProtection algorithmName="SHA-512" hashValue="cEEr+Dvvu+GG9J/OL/1+6d03pBREfARSI6UikcwAg9jP51NrRFqgh8THDLaOD8SHVl0SuUo4YR62xljd3ZmPeQ==" saltValue="E7c5tvx+/lGRq8h+vZoNDQ=="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f292adm - Fatec Ferraz de Vasconcelos</cp:lastModifiedBy>
  <cp:revision/>
  <cp:lastPrinted>2025-07-02T21:10:16Z</cp:lastPrinted>
  <dcterms:created xsi:type="dcterms:W3CDTF">2014-10-07T12:05:22Z</dcterms:created>
  <dcterms:modified xsi:type="dcterms:W3CDTF">2025-10-30T18:35:50Z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